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M:\DairyCo MI\Datum from M\Website PB\Prices\Wholesale prices\AMPE and MCVE\AMPE MCVE tool\"/>
    </mc:Choice>
  </mc:AlternateContent>
  <xr:revisionPtr revIDLastSave="0" documentId="8_{61DA4D13-CA51-49ED-A49F-15026B55E2B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Data Entry" sheetId="1" r:id="rId1"/>
    <sheet name="Base costs" sheetId="8" state="veryHidden" r:id="rId2"/>
    <sheet name="AMPE calc" sheetId="3" state="veryHidden" r:id="rId3"/>
    <sheet name="MCVE calc" sheetId="4" state="veryHidden" r:id="rId4"/>
  </sheets>
  <externalReferences>
    <externalReference r:id="rId5"/>
  </externalReferences>
  <definedNames>
    <definedName name="INPUT_BOX">[1]Calculation!$C$1</definedName>
    <definedName name="t25Q2" localSheetId="1">#REF!</definedName>
    <definedName name="t25Q2">#REF!</definedName>
    <definedName name="table_25_Q2" localSheetId="1">#REF!</definedName>
    <definedName name="table_25_Q2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1" i="1" l="1"/>
  <c r="C38" i="3"/>
  <c r="C39" i="3" l="1"/>
  <c r="K8" i="3"/>
  <c r="K12" i="3"/>
  <c r="I27" i="1" l="1"/>
  <c r="I11" i="1"/>
  <c r="I30" i="1" l="1"/>
  <c r="Q55" i="1" l="1"/>
  <c r="Q50" i="1"/>
  <c r="Q54" i="1"/>
  <c r="Q49" i="1"/>
  <c r="Q40" i="1"/>
  <c r="Q30" i="1"/>
  <c r="Q27" i="1"/>
  <c r="Q11" i="1"/>
  <c r="Q10" i="1"/>
  <c r="Q9" i="1"/>
  <c r="Q42" i="1"/>
  <c r="Q41" i="1"/>
  <c r="Q39" i="1"/>
  <c r="Q38" i="1"/>
  <c r="Q29" i="1"/>
  <c r="Q28" i="1"/>
  <c r="Q20" i="1"/>
  <c r="Q19" i="1"/>
  <c r="Q18" i="1"/>
  <c r="Q17" i="1"/>
  <c r="Q16" i="1"/>
  <c r="Q15" i="1"/>
  <c r="Q26" i="1"/>
  <c r="Q25" i="1"/>
  <c r="Q24" i="1"/>
  <c r="Q34" i="1"/>
  <c r="O34" i="1" l="1"/>
  <c r="C33" i="3" s="1"/>
  <c r="P10" i="1"/>
  <c r="P11" i="1" s="1"/>
  <c r="C5" i="4" s="1"/>
  <c r="P9" i="1"/>
  <c r="C3" i="4" s="1"/>
  <c r="O15" i="1"/>
  <c r="O10" i="1"/>
  <c r="O11" i="1" s="1"/>
  <c r="O9" i="1"/>
  <c r="O20" i="1"/>
  <c r="O55" i="1"/>
  <c r="O54" i="1"/>
  <c r="O50" i="1"/>
  <c r="L3" i="4" s="1"/>
  <c r="O49" i="1"/>
  <c r="L3" i="3" s="1"/>
  <c r="O42" i="1"/>
  <c r="O41" i="1"/>
  <c r="O39" i="1"/>
  <c r="O38" i="1"/>
  <c r="O29" i="1"/>
  <c r="O26" i="1"/>
  <c r="O27" i="1"/>
  <c r="O24" i="1"/>
  <c r="O30" i="1" s="1"/>
  <c r="O19" i="1"/>
  <c r="O18" i="1"/>
  <c r="O17" i="1"/>
  <c r="O16" i="1"/>
  <c r="O40" i="1" l="1"/>
  <c r="C31" i="3" s="1"/>
  <c r="C30" i="3"/>
  <c r="C34" i="3"/>
  <c r="C4" i="4"/>
  <c r="C14" i="4" s="1"/>
  <c r="D14" i="4" s="1"/>
  <c r="I40" i="1"/>
  <c r="C23" i="3"/>
  <c r="C12" i="4"/>
  <c r="C24" i="4"/>
  <c r="K5" i="4" l="1"/>
  <c r="K4" i="4"/>
  <c r="K6" i="3"/>
  <c r="L6" i="3" s="1"/>
  <c r="G4" i="4"/>
  <c r="G3" i="4"/>
  <c r="G4" i="3"/>
  <c r="G5" i="3"/>
  <c r="G5" i="4"/>
  <c r="K7" i="4" l="1"/>
  <c r="L4" i="4"/>
  <c r="L7" i="4" s="1"/>
  <c r="L5" i="4"/>
  <c r="K4" i="3"/>
  <c r="K6" i="4"/>
  <c r="K5" i="3"/>
  <c r="K7" i="3"/>
  <c r="G3" i="3"/>
  <c r="C5" i="3"/>
  <c r="C4" i="3"/>
  <c r="D20" i="3" s="1"/>
  <c r="L7" i="3" l="1"/>
  <c r="L5" i="3"/>
  <c r="L4" i="3"/>
  <c r="L6" i="4"/>
  <c r="C20" i="3"/>
  <c r="C21" i="3" s="1"/>
  <c r="C6" i="3"/>
  <c r="C16" i="3" l="1"/>
  <c r="C11" i="3"/>
  <c r="C12" i="3" s="1"/>
  <c r="C22" i="3"/>
  <c r="C10" i="4"/>
  <c r="C17" i="4"/>
  <c r="C20" i="4" s="1"/>
  <c r="C15" i="4"/>
  <c r="C18" i="4" s="1"/>
  <c r="C13" i="4"/>
  <c r="C16" i="4" s="1"/>
  <c r="C19" i="4" s="1"/>
  <c r="C36" i="3" l="1"/>
  <c r="D38" i="3" s="1"/>
  <c r="K9" i="3" s="1"/>
  <c r="C27" i="3"/>
  <c r="C24" i="3"/>
  <c r="C28" i="3"/>
  <c r="C22" i="4"/>
  <c r="C23" i="4"/>
  <c r="C21" i="4"/>
  <c r="L9" i="3" l="1"/>
  <c r="C29" i="3"/>
  <c r="C32" i="3" s="1"/>
  <c r="E32" i="3" s="1"/>
  <c r="C26" i="4"/>
  <c r="C30" i="4" s="1"/>
  <c r="C29" i="4" s="1"/>
  <c r="C25" i="4"/>
  <c r="C25" i="3"/>
  <c r="C26" i="3" s="1"/>
  <c r="D26" i="3" s="1"/>
  <c r="L8" i="3" l="1"/>
  <c r="C35" i="3"/>
  <c r="C35" i="4"/>
  <c r="C36" i="4" s="1"/>
  <c r="C37" i="4" s="1"/>
  <c r="D37" i="4" s="1"/>
  <c r="C31" i="4"/>
  <c r="K9" i="4" l="1"/>
  <c r="L9" i="4"/>
  <c r="C37" i="3"/>
  <c r="D39" i="3" s="1"/>
  <c r="C33" i="4"/>
  <c r="C34" i="4" s="1"/>
  <c r="D34" i="4" s="1"/>
  <c r="C27" i="4"/>
  <c r="K10" i="3" l="1"/>
  <c r="L10" i="3"/>
  <c r="L12" i="3" s="1"/>
  <c r="K8" i="4"/>
  <c r="K11" i="4" s="1"/>
  <c r="U12" i="1" s="1"/>
  <c r="L8" i="4"/>
  <c r="L11" i="4" s="1"/>
  <c r="U18" i="1" l="1"/>
  <c r="U24" i="1"/>
  <c r="U17" i="1"/>
  <c r="U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tc={F7182487-597F-482E-8B42-207E57D5E540}</author>
    <author>tc={9E471C82-8AE1-4DB9-A455-82D3B5158855}</author>
    <author>tc={EEBEAA56-58C8-4A7E-9E32-966C03375C47}</author>
    <author>tc={3A15E00E-F714-433E-8676-7D66F6F63DFA}</author>
  </authors>
  <commentList>
    <comment ref="I11" authorId="0" shapeId="0" xr:uid="{F7182487-597F-482E-8B42-207E57D5E54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Where does the 38.2% come from? Should this be 34.8% on p 38 of report
Reply:
    I have no idea!  </t>
      </text>
    </comment>
    <comment ref="I38" authorId="1" shapeId="0" xr:uid="{9E471C82-8AE1-4DB9-A455-82D3B5158855}">
      <text>
        <t>[Threaded comment]
Your version of Excel allows you to read this threaded comment; however, any edits to it will get removed if the file is opened in a newer version of Excel. Learn more: https://go.microsoft.com/fwlink/?linkid=870924
Comment:
    2% on p12</t>
      </text>
    </comment>
    <comment ref="I39" authorId="2" shapeId="0" xr:uid="{EEBEAA56-58C8-4A7E-9E32-966C03375C47}">
      <text>
        <t>[Threaded comment]
Your version of Excel allows you to read this threaded comment; however, any edits to it will get removed if the file is opened in a newer version of Excel. Learn more: https://go.microsoft.com/fwlink/?linkid=870924
Comment:
    2% on p12</t>
      </text>
    </comment>
    <comment ref="I42" authorId="3" shapeId="0" xr:uid="{3A15E00E-F714-433E-8676-7D66F6F63DFA}">
      <text>
        <t>[Threaded comment]
Your version of Excel allows you to read this threaded comment; however, any edits to it will get removed if the file is opened in a newer version of Excel. Learn more: https://go.microsoft.com/fwlink/?linkid=870924
Comment:
    3% on p 16</t>
      </text>
    </comment>
  </commentList>
</comments>
</file>

<file path=xl/sharedStrings.xml><?xml version="1.0" encoding="utf-8"?>
<sst xmlns="http://schemas.openxmlformats.org/spreadsheetml/2006/main" count="335" uniqueCount="150">
  <si>
    <t>Milk composition:</t>
  </si>
  <si>
    <t>Fat</t>
  </si>
  <si>
    <t>Protein</t>
  </si>
  <si>
    <t>UK</t>
  </si>
  <si>
    <t>Butter</t>
  </si>
  <si>
    <t>SMP</t>
  </si>
  <si>
    <t>BMP</t>
  </si>
  <si>
    <t>Cheddar</t>
  </si>
  <si>
    <t>Whey Powder</t>
  </si>
  <si>
    <t>Energy</t>
  </si>
  <si>
    <t>Labour</t>
  </si>
  <si>
    <t>Raw mat</t>
  </si>
  <si>
    <t>Chem, water, waste</t>
  </si>
  <si>
    <t>Maintenance</t>
  </si>
  <si>
    <t>Storage</t>
  </si>
  <si>
    <t>Depreciation</t>
  </si>
  <si>
    <t>General/admin</t>
  </si>
  <si>
    <t>Lactose powder addition</t>
  </si>
  <si>
    <t>Total</t>
  </si>
  <si>
    <t>Energy assumptions split:</t>
  </si>
  <si>
    <t>Electricity</t>
  </si>
  <si>
    <t>Gas</t>
  </si>
  <si>
    <t>Lactose addition</t>
  </si>
  <si>
    <t>kg per tonne of powder</t>
  </si>
  <si>
    <t>Butter, SMP and BMP yield calculation</t>
  </si>
  <si>
    <t>Composition of milk</t>
  </si>
  <si>
    <t>Solids not fat</t>
  </si>
  <si>
    <t>Composition of cream</t>
  </si>
  <si>
    <t>Composition of Unsalted Butter</t>
  </si>
  <si>
    <t>Composition of Buttermilk</t>
  </si>
  <si>
    <t>Total Solids</t>
  </si>
  <si>
    <t>Composition of SMP</t>
  </si>
  <si>
    <t>Composition of  skim</t>
  </si>
  <si>
    <t>Weight of milk</t>
  </si>
  <si>
    <t>kg/lit</t>
  </si>
  <si>
    <t>Volume of milk</t>
  </si>
  <si>
    <t>kgs</t>
  </si>
  <si>
    <t>Kgs of cream</t>
  </si>
  <si>
    <t>kgs butter</t>
  </si>
  <si>
    <t>kgs buttermilk</t>
  </si>
  <si>
    <t>Loss</t>
  </si>
  <si>
    <t>1 tonne butter requires</t>
  </si>
  <si>
    <t>kg milk</t>
  </si>
  <si>
    <t>litres milk</t>
  </si>
  <si>
    <t>kgs of SMP and buttermilk</t>
  </si>
  <si>
    <t>Solids in SMP and buttermilk</t>
  </si>
  <si>
    <t>Solids as % of volume</t>
  </si>
  <si>
    <t>Protein in SMP before std</t>
  </si>
  <si>
    <t>%</t>
  </si>
  <si>
    <t>Addition of lactose powder</t>
  </si>
  <si>
    <t>Cost of lactose powder</t>
  </si>
  <si>
    <t>£/t SMP</t>
  </si>
  <si>
    <t>kgs of powder</t>
  </si>
  <si>
    <t>kgs of BMP</t>
  </si>
  <si>
    <t>kgs of SMP</t>
  </si>
  <si>
    <t>1 tonne BMP requires</t>
  </si>
  <si>
    <t>1 tonne SMP requires</t>
  </si>
  <si>
    <t>Cheddar and whey yield calculator</t>
  </si>
  <si>
    <t>Composition of cheddar</t>
  </si>
  <si>
    <t>Other SNF</t>
  </si>
  <si>
    <t>Loss from cheese</t>
  </si>
  <si>
    <t>Casein to make 1 tonne cheese</t>
  </si>
  <si>
    <t>1 tonne of cheddar requires</t>
  </si>
  <si>
    <t>In 1 tonne cheese (kgs)</t>
  </si>
  <si>
    <t>Losses from cheese make (kgs)</t>
  </si>
  <si>
    <t>Remaining in whey (kgs)</t>
  </si>
  <si>
    <t>Loss from whey</t>
  </si>
  <si>
    <t>Losses from whey powder make (kgs)</t>
  </si>
  <si>
    <t>SNF</t>
  </si>
  <si>
    <t>All solids</t>
  </si>
  <si>
    <t>Whey powder</t>
  </si>
  <si>
    <t>Solids in whey powder (kgs)</t>
  </si>
  <si>
    <t>Dry matter of whey powder</t>
  </si>
  <si>
    <t>kgs of whey powder</t>
  </si>
  <si>
    <t>1 tonne of whey requires</t>
  </si>
  <si>
    <t>Used in whey butter (kgs)</t>
  </si>
  <si>
    <t>Butter made from 1t cheese</t>
  </si>
  <si>
    <t>1 tonne of butter requires</t>
  </si>
  <si>
    <t>Solids Not Fat</t>
  </si>
  <si>
    <t>Mild Cheddar</t>
  </si>
  <si>
    <t>AMPE Calculation</t>
  </si>
  <si>
    <t>Lactose</t>
  </si>
  <si>
    <t>Price £t</t>
  </si>
  <si>
    <t>ppl</t>
  </si>
  <si>
    <t>AMPE</t>
  </si>
  <si>
    <t>Proposed costs (£'s per tonne of product)</t>
  </si>
  <si>
    <t>Excl. lactose cost</t>
  </si>
  <si>
    <t>Now using monthly averages</t>
  </si>
  <si>
    <t>yield</t>
  </si>
  <si>
    <t>prices &amp; AMPE</t>
  </si>
  <si>
    <t>Costs</t>
  </si>
  <si>
    <t>SMP (ex lactose)</t>
  </si>
  <si>
    <t>costs</t>
  </si>
  <si>
    <t>price</t>
  </si>
  <si>
    <t>cheddar</t>
  </si>
  <si>
    <t>whey powder</t>
  </si>
  <si>
    <t>est. Whey butter</t>
  </si>
  <si>
    <t>prices and MCVE</t>
  </si>
  <si>
    <t>MCVE calculation</t>
  </si>
  <si>
    <t>price £t</t>
  </si>
  <si>
    <t>components</t>
  </si>
  <si>
    <t>MCVE</t>
  </si>
  <si>
    <t>Costs (£/t product):</t>
  </si>
  <si>
    <t>Prices (£/tonne):</t>
  </si>
  <si>
    <t>Whey butter</t>
  </si>
  <si>
    <t>YOUR DATA</t>
  </si>
  <si>
    <t>BASE DATA</t>
  </si>
  <si>
    <t>calculated</t>
  </si>
  <si>
    <t>leave blank if not available</t>
  </si>
  <si>
    <t>whey butter</t>
  </si>
  <si>
    <t>RESULTS</t>
  </si>
  <si>
    <t>AMPE:</t>
  </si>
  <si>
    <t>MCVE:</t>
  </si>
  <si>
    <t>Lactose powder</t>
  </si>
  <si>
    <t>currently no butter loss %</t>
  </si>
  <si>
    <t>Processing losses (%):</t>
  </si>
  <si>
    <t>Processor profit margin (ppl):</t>
  </si>
  <si>
    <t>AFTER PROFIT MARGIN</t>
  </si>
  <si>
    <t>FARM GATE PRICE</t>
  </si>
  <si>
    <t>Haulage cost from farm to factory (ppl):</t>
  </si>
  <si>
    <t>Estimated using SMP price -103</t>
  </si>
  <si>
    <t>Same as SMP</t>
  </si>
  <si>
    <t>Whey Butter</t>
  </si>
  <si>
    <t>Same as butter</t>
  </si>
  <si>
    <t>Can be same as butter</t>
  </si>
  <si>
    <t>Combined</t>
  </si>
  <si>
    <t>calculated if left blank</t>
  </si>
  <si>
    <t>% of SMP by weight</t>
  </si>
  <si>
    <t>Lactose addition to SMP (%):</t>
  </si>
  <si>
    <t>These figures will be used by the calculator</t>
  </si>
  <si>
    <t>wherever your data is not provided</t>
  </si>
  <si>
    <t>This is what's going into the tool - a mix of your</t>
  </si>
  <si>
    <t>data and base data to fill gaps</t>
  </si>
  <si>
    <t>in standard AMPE/MCVE calculations</t>
  </si>
  <si>
    <t>Numbers below this point are optional and not included</t>
  </si>
  <si>
    <t>Notes</t>
  </si>
  <si>
    <t>DATA USED IN CALCULATION</t>
  </si>
  <si>
    <t>Processor profit margin (as % of sales prices):</t>
  </si>
  <si>
    <t>Profit margin</t>
  </si>
  <si>
    <t>Input</t>
  </si>
  <si>
    <t xml:space="preserve">                            </t>
  </si>
  <si>
    <t>Loss SMP</t>
  </si>
  <si>
    <t>Loss BMP</t>
  </si>
  <si>
    <r>
      <rPr>
        <b/>
        <sz val="12"/>
        <color rgb="FF575756"/>
        <rFont val="Arial"/>
        <family val="2"/>
      </rPr>
      <t>Source:</t>
    </r>
    <r>
      <rPr>
        <sz val="12"/>
        <color rgb="FF575756"/>
        <rFont val="Arial"/>
        <family val="2"/>
      </rPr>
      <t xml:space="preserve"> AHDB</t>
    </r>
  </si>
  <si>
    <t>AMPE &amp; MCVE tool</t>
  </si>
  <si>
    <t>Rounded</t>
  </si>
  <si>
    <t>(AHDB standard litre used for composition)</t>
  </si>
  <si>
    <t>Prices (£/tonne), 2024 average:</t>
  </si>
  <si>
    <t>Estimated using butter price -5%</t>
  </si>
  <si>
    <t>Base data uses 2024 average prices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</si>
</sst>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.00000_-;\-* #,##0.00000_-;_-* &quot;-&quot;??_-;_-@_-"/>
    <numFmt numFmtId="166" formatCode="_-* #,##0_-;\-* #,##0_-;_-* &quot;-&quot;??_-;_-@_-"/>
    <numFmt numFmtId="167" formatCode="_-&quot;£&quot;* #,##0_-;\-&quot;£&quot;* #,##0_-;_-&quot;£&quot;* &quot;-&quot;??_-;_-@_-"/>
    <numFmt numFmtId="168" formatCode="_-* #,##0.0_-;\-* #,##0.0_-;_-* &quot;-&quot;??_-;_-@_-"/>
    <numFmt numFmtId="169" formatCode="[$-F400]h:mm:ss\ AM/PM"/>
  </numFmts>
  <fonts count="15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i/>
      <sz val="11"/>
      <color rgb="FFFF0000"/>
      <name val="Arial"/>
      <family val="2"/>
      <scheme val="minor"/>
    </font>
    <font>
      <sz val="12"/>
      <color theme="1"/>
      <name val="Arial"/>
      <family val="2"/>
      <scheme val="minor"/>
    </font>
    <font>
      <sz val="12"/>
      <color theme="3"/>
      <name val="Arial"/>
      <family val="2"/>
      <scheme val="minor"/>
    </font>
    <font>
      <b/>
      <sz val="16"/>
      <color theme="4"/>
      <name val="Arial (Body)_x0000_"/>
    </font>
    <font>
      <b/>
      <sz val="12"/>
      <color theme="4"/>
      <name val="Arial (Body)_x0000_"/>
    </font>
    <font>
      <sz val="12"/>
      <color rgb="FF575756"/>
      <name val="Arial"/>
      <family val="2"/>
    </font>
    <font>
      <b/>
      <sz val="12"/>
      <color rgb="FF575756"/>
      <name val="Arial"/>
      <family val="2"/>
    </font>
    <font>
      <sz val="12"/>
      <color rgb="FF95C11F"/>
      <name val="Arial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9E7A7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3" fillId="2" borderId="0" xfId="0" applyFont="1" applyFill="1"/>
    <xf numFmtId="0" fontId="0" fillId="2" borderId="0" xfId="0" applyFill="1"/>
    <xf numFmtId="0" fontId="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" fontId="0" fillId="2" borderId="0" xfId="0" applyNumberFormat="1" applyFill="1" applyAlignment="1">
      <alignment horizontal="center"/>
    </xf>
    <xf numFmtId="0" fontId="3" fillId="4" borderId="0" xfId="0" applyFont="1" applyFill="1"/>
    <xf numFmtId="1" fontId="3" fillId="4" borderId="0" xfId="0" applyNumberFormat="1" applyFont="1" applyFill="1" applyAlignment="1">
      <alignment horizontal="center"/>
    </xf>
    <xf numFmtId="9" fontId="0" fillId="0" borderId="0" xfId="0" applyNumberFormat="1" applyAlignment="1">
      <alignment horizontal="center"/>
    </xf>
    <xf numFmtId="6" fontId="0" fillId="0" borderId="0" xfId="0" applyNumberFormat="1"/>
    <xf numFmtId="8" fontId="0" fillId="0" borderId="0" xfId="0" applyNumberFormat="1"/>
    <xf numFmtId="0" fontId="3" fillId="0" borderId="0" xfId="0" applyFont="1"/>
    <xf numFmtId="0" fontId="0" fillId="0" borderId="0" xfId="0" applyAlignment="1">
      <alignment vertical="center" wrapText="1"/>
    </xf>
    <xf numFmtId="10" fontId="0" fillId="0" borderId="0" xfId="0" applyNumberFormat="1" applyAlignment="1">
      <alignment horizontal="center" vertical="center" wrapText="1"/>
    </xf>
    <xf numFmtId="10" fontId="0" fillId="5" borderId="0" xfId="0" applyNumberFormat="1" applyFill="1"/>
    <xf numFmtId="10" fontId="0" fillId="5" borderId="0" xfId="3" applyNumberFormat="1" applyFont="1" applyFill="1"/>
    <xf numFmtId="165" fontId="0" fillId="5" borderId="0" xfId="0" applyNumberFormat="1" applyFill="1"/>
    <xf numFmtId="166" fontId="1" fillId="5" borderId="0" xfId="1" applyNumberFormat="1" applyFont="1" applyFill="1"/>
    <xf numFmtId="43" fontId="0" fillId="5" borderId="0" xfId="0" applyNumberFormat="1" applyFill="1"/>
    <xf numFmtId="43" fontId="4" fillId="5" borderId="0" xfId="1" applyFont="1" applyFill="1"/>
    <xf numFmtId="166" fontId="4" fillId="5" borderId="0" xfId="1" applyNumberFormat="1" applyFont="1" applyFill="1"/>
    <xf numFmtId="10" fontId="4" fillId="5" borderId="0" xfId="3" applyNumberFormat="1" applyFont="1" applyFill="1"/>
    <xf numFmtId="164" fontId="4" fillId="5" borderId="0" xfId="3" applyNumberFormat="1" applyFont="1" applyFill="1"/>
    <xf numFmtId="167" fontId="4" fillId="5" borderId="0" xfId="2" applyNumberFormat="1" applyFont="1" applyFill="1"/>
    <xf numFmtId="10" fontId="2" fillId="5" borderId="0" xfId="0" applyNumberFormat="1" applyFont="1" applyFill="1"/>
    <xf numFmtId="168" fontId="1" fillId="5" borderId="0" xfId="1" applyNumberFormat="1" applyFont="1" applyFill="1"/>
    <xf numFmtId="168" fontId="0" fillId="5" borderId="0" xfId="1" applyNumberFormat="1" applyFont="1" applyFill="1"/>
    <xf numFmtId="168" fontId="0" fillId="5" borderId="0" xfId="0" applyNumberFormat="1" applyFill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2" fillId="5" borderId="0" xfId="0" applyNumberFormat="1" applyFont="1" applyFill="1"/>
    <xf numFmtId="168" fontId="4" fillId="5" borderId="0" xfId="0" applyNumberFormat="1" applyFont="1" applyFill="1"/>
    <xf numFmtId="43" fontId="4" fillId="5" borderId="0" xfId="0" applyNumberFormat="1" applyFont="1" applyFill="1"/>
    <xf numFmtId="0" fontId="2" fillId="0" borderId="0" xfId="0" applyFont="1"/>
    <xf numFmtId="9" fontId="2" fillId="0" borderId="0" xfId="0" applyNumberFormat="1" applyFont="1"/>
    <xf numFmtId="0" fontId="0" fillId="0" borderId="0" xfId="0" applyAlignment="1">
      <alignment wrapText="1"/>
    </xf>
    <xf numFmtId="1" fontId="0" fillId="0" borderId="0" xfId="0" applyNumberFormat="1"/>
    <xf numFmtId="43" fontId="0" fillId="0" borderId="0" xfId="0" applyNumberFormat="1"/>
    <xf numFmtId="43" fontId="3" fillId="0" borderId="0" xfId="0" applyNumberFormat="1" applyFont="1"/>
    <xf numFmtId="166" fontId="5" fillId="5" borderId="0" xfId="0" applyNumberFormat="1" applyFont="1" applyFill="1"/>
    <xf numFmtId="0" fontId="4" fillId="3" borderId="0" xfId="0" applyFont="1" applyFill="1"/>
    <xf numFmtId="0" fontId="6" fillId="3" borderId="0" xfId="0" applyFont="1" applyFill="1"/>
    <xf numFmtId="0" fontId="5" fillId="3" borderId="0" xfId="0" applyFont="1" applyFill="1"/>
    <xf numFmtId="0" fontId="4" fillId="6" borderId="0" xfId="0" applyFont="1" applyFill="1"/>
    <xf numFmtId="0" fontId="6" fillId="6" borderId="0" xfId="0" applyFont="1" applyFill="1"/>
    <xf numFmtId="0" fontId="5" fillId="6" borderId="0" xfId="0" applyFont="1" applyFill="1"/>
    <xf numFmtId="10" fontId="4" fillId="2" borderId="1" xfId="3" applyNumberFormat="1" applyFont="1" applyFill="1" applyBorder="1"/>
    <xf numFmtId="0" fontId="4" fillId="2" borderId="1" xfId="0" applyFont="1" applyFill="1" applyBorder="1"/>
    <xf numFmtId="0" fontId="6" fillId="2" borderId="1" xfId="0" applyFont="1" applyFill="1" applyBorder="1"/>
    <xf numFmtId="0" fontId="4" fillId="8" borderId="1" xfId="0" applyFont="1" applyFill="1" applyBorder="1"/>
    <xf numFmtId="0" fontId="6" fillId="8" borderId="1" xfId="0" applyFont="1" applyFill="1" applyBorder="1"/>
    <xf numFmtId="0" fontId="4" fillId="7" borderId="0" xfId="0" applyFont="1" applyFill="1"/>
    <xf numFmtId="0" fontId="5" fillId="7" borderId="0" xfId="0" applyFont="1" applyFill="1"/>
    <xf numFmtId="0" fontId="6" fillId="7" borderId="0" xfId="0" applyFont="1" applyFill="1"/>
    <xf numFmtId="0" fontId="4" fillId="9" borderId="1" xfId="0" applyFont="1" applyFill="1" applyBorder="1"/>
    <xf numFmtId="0" fontId="4" fillId="10" borderId="1" xfId="0" applyFont="1" applyFill="1" applyBorder="1"/>
    <xf numFmtId="0" fontId="6" fillId="9" borderId="1" xfId="0" applyFont="1" applyFill="1" applyBorder="1"/>
    <xf numFmtId="0" fontId="6" fillId="10" borderId="1" xfId="0" applyFont="1" applyFill="1" applyBorder="1"/>
    <xf numFmtId="0" fontId="4" fillId="12" borderId="0" xfId="0" applyFont="1" applyFill="1"/>
    <xf numFmtId="0" fontId="5" fillId="12" borderId="0" xfId="0" applyFont="1" applyFill="1"/>
    <xf numFmtId="0" fontId="4" fillId="11" borderId="1" xfId="0" applyFont="1" applyFill="1" applyBorder="1"/>
    <xf numFmtId="43" fontId="4" fillId="2" borderId="1" xfId="0" applyNumberFormat="1" applyFont="1" applyFill="1" applyBorder="1"/>
    <xf numFmtId="10" fontId="2" fillId="5" borderId="0" xfId="3" applyNumberFormat="1" applyFont="1" applyFill="1"/>
    <xf numFmtId="10" fontId="4" fillId="13" borderId="1" xfId="3" applyNumberFormat="1" applyFont="1" applyFill="1" applyBorder="1"/>
    <xf numFmtId="0" fontId="4" fillId="13" borderId="1" xfId="0" applyFont="1" applyFill="1" applyBorder="1"/>
    <xf numFmtId="0" fontId="6" fillId="13" borderId="1" xfId="0" applyFont="1" applyFill="1" applyBorder="1"/>
    <xf numFmtId="164" fontId="2" fillId="5" borderId="0" xfId="3" applyNumberFormat="1" applyFont="1" applyFill="1"/>
    <xf numFmtId="0" fontId="7" fillId="0" borderId="0" xfId="0" applyFont="1"/>
    <xf numFmtId="0" fontId="5" fillId="3" borderId="0" xfId="0" applyFont="1" applyFill="1" applyAlignment="1">
      <alignment horizontal="center"/>
    </xf>
    <xf numFmtId="0" fontId="5" fillId="3" borderId="0" xfId="0" applyFont="1" applyFill="1" applyAlignment="1">
      <alignment horizontal="left"/>
    </xf>
    <xf numFmtId="9" fontId="4" fillId="2" borderId="1" xfId="3" applyFont="1" applyFill="1" applyBorder="1"/>
    <xf numFmtId="0" fontId="5" fillId="7" borderId="0" xfId="0" applyFont="1" applyFill="1" applyAlignment="1">
      <alignment horizontal="center"/>
    </xf>
    <xf numFmtId="10" fontId="0" fillId="0" borderId="0" xfId="3" applyNumberFormat="1" applyFont="1"/>
    <xf numFmtId="0" fontId="4" fillId="2" borderId="0" xfId="0" applyFont="1" applyFill="1"/>
    <xf numFmtId="0" fontId="6" fillId="2" borderId="0" xfId="0" applyFont="1" applyFill="1"/>
    <xf numFmtId="169" fontId="8" fillId="2" borderId="0" xfId="0" applyNumberFormat="1" applyFont="1" applyFill="1"/>
    <xf numFmtId="169" fontId="9" fillId="2" borderId="0" xfId="0" applyNumberFormat="1" applyFont="1" applyFill="1"/>
    <xf numFmtId="0" fontId="10" fillId="2" borderId="0" xfId="0" applyFont="1" applyFill="1"/>
    <xf numFmtId="0" fontId="11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top" wrapText="1"/>
    </xf>
    <xf numFmtId="1" fontId="6" fillId="2" borderId="1" xfId="0" applyNumberFormat="1" applyFont="1" applyFill="1" applyBorder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C9E7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sv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423958</xdr:colOff>
      <xdr:row>0</xdr:row>
      <xdr:rowOff>0</xdr:rowOff>
    </xdr:from>
    <xdr:to>
      <xdr:col>16</xdr:col>
      <xdr:colOff>1493727</xdr:colOff>
      <xdr:row>1</xdr:row>
      <xdr:rowOff>171229</xdr:rowOff>
    </xdr:to>
    <xdr:pic>
      <xdr:nvPicPr>
        <xdr:cNvPr id="3" name="Gradientbar with swoosh 2" hidden="1">
          <a:extLst>
            <a:ext uri="{FF2B5EF4-FFF2-40B4-BE49-F238E27FC236}">
              <a16:creationId xmlns:a16="http://schemas.microsoft.com/office/drawing/2014/main" id="{597E4208-3CCD-A44F-810C-FC100F601A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14508" y="0"/>
          <a:ext cx="9188244" cy="352204"/>
        </a:xfrm>
        <a:prstGeom prst="rect">
          <a:avLst/>
        </a:prstGeom>
      </xdr:spPr>
    </xdr:pic>
    <xdr:clientData/>
  </xdr:twoCellAnchor>
  <xdr:twoCellAnchor editAs="oneCell">
    <xdr:from>
      <xdr:col>1</xdr:col>
      <xdr:colOff>460659</xdr:colOff>
      <xdr:row>0</xdr:row>
      <xdr:rowOff>0</xdr:rowOff>
    </xdr:from>
    <xdr:to>
      <xdr:col>16</xdr:col>
      <xdr:colOff>235232</xdr:colOff>
      <xdr:row>1</xdr:row>
      <xdr:rowOff>160635</xdr:rowOff>
    </xdr:to>
    <xdr:pic>
      <xdr:nvPicPr>
        <xdr:cNvPr id="4" name="Gradientbar with swoosh 1" hidden="1">
          <a:extLst>
            <a:ext uri="{FF2B5EF4-FFF2-40B4-BE49-F238E27FC236}">
              <a16:creationId xmlns:a16="http://schemas.microsoft.com/office/drawing/2014/main" id="{6EF665A3-CFB4-8848-88AB-516555652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51209" y="0"/>
          <a:ext cx="7886698" cy="347960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0</xdr:row>
      <xdr:rowOff>1</xdr:rowOff>
    </xdr:from>
    <xdr:to>
      <xdr:col>22</xdr:col>
      <xdr:colOff>15875</xdr:colOff>
      <xdr:row>1</xdr:row>
      <xdr:rowOff>1</xdr:rowOff>
    </xdr:to>
    <xdr:pic>
      <xdr:nvPicPr>
        <xdr:cNvPr id="5" name="Gradientbar">
          <a:extLst>
            <a:ext uri="{FF2B5EF4-FFF2-40B4-BE49-F238E27FC236}">
              <a16:creationId xmlns:a16="http://schemas.microsoft.com/office/drawing/2014/main" id="{79F5A469-EE1E-154A-93F0-586434381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504825" y="1"/>
          <a:ext cx="12239625" cy="342900"/>
        </a:xfrm>
        <a:prstGeom prst="rect">
          <a:avLst/>
        </a:prstGeom>
      </xdr:spPr>
    </xdr:pic>
    <xdr:clientData/>
  </xdr:twoCellAnchor>
  <xdr:twoCellAnchor editAs="oneCell">
    <xdr:from>
      <xdr:col>1</xdr:col>
      <xdr:colOff>460659</xdr:colOff>
      <xdr:row>0</xdr:row>
      <xdr:rowOff>0</xdr:rowOff>
    </xdr:from>
    <xdr:to>
      <xdr:col>16</xdr:col>
      <xdr:colOff>235232</xdr:colOff>
      <xdr:row>1</xdr:row>
      <xdr:rowOff>160635</xdr:rowOff>
    </xdr:to>
    <xdr:pic>
      <xdr:nvPicPr>
        <xdr:cNvPr id="6" name="Gradientbar with swoosh 1" hidden="1">
          <a:extLst>
            <a:ext uri="{FF2B5EF4-FFF2-40B4-BE49-F238E27FC236}">
              <a16:creationId xmlns:a16="http://schemas.microsoft.com/office/drawing/2014/main" id="{6EF665A3-CFB4-8848-88AB-516555652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51209" y="0"/>
          <a:ext cx="7886698" cy="3479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1</xdr:col>
      <xdr:colOff>234950</xdr:colOff>
      <xdr:row>1</xdr:row>
      <xdr:rowOff>1</xdr:rowOff>
    </xdr:to>
    <xdr:pic>
      <xdr:nvPicPr>
        <xdr:cNvPr id="7" name="Logo">
          <a:extLst>
            <a:ext uri="{FF2B5EF4-FFF2-40B4-BE49-F238E27FC236}">
              <a16:creationId xmlns:a16="http://schemas.microsoft.com/office/drawing/2014/main" id="{2EF123F5-E01E-2847-BBA1-2D83FB938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0" y="1"/>
          <a:ext cx="508000" cy="3429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tatistics\Prices%20Team\Quarterly%20Prices%20Publication%20QEP\Tables\table_3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posals for QEP"/>
      <sheetName val="Contents"/>
      <sheetName val="Highlights"/>
      <sheetName val="Main Table Q1"/>
      <sheetName val="Main Table"/>
      <sheetName val="Main Table Q3"/>
      <sheetName val="Chart 3.1.1"/>
      <sheetName val="Notes"/>
      <sheetName val="Methodology"/>
      <sheetName val="Quarter"/>
      <sheetName val="To Hide - pdf copy"/>
      <sheetName val="Calculation"/>
      <sheetName val="Hide me please"/>
      <sheetName val="quarter real terms (hide)"/>
      <sheetName val="Main Table Q4"/>
      <sheetName val="Main Table Q2"/>
    </sheetNames>
    <sheetDataSet>
      <sheetData sheetId="0"/>
      <sheetData sheetId="1"/>
      <sheetData sheetId="2"/>
      <sheetData sheetId="3"/>
      <sheetData sheetId="4">
        <row r="7">
          <cell r="K7" t="str">
            <v>..</v>
          </cell>
        </row>
      </sheetData>
      <sheetData sheetId="5"/>
      <sheetData sheetId="6"/>
      <sheetData sheetId="7"/>
      <sheetData sheetId="8"/>
      <sheetData sheetId="9">
        <row r="45">
          <cell r="C45">
            <v>2.09</v>
          </cell>
        </row>
      </sheetData>
      <sheetData sheetId="10"/>
      <sheetData sheetId="11">
        <row r="1">
          <cell r="C1">
            <v>2017</v>
          </cell>
        </row>
      </sheetData>
      <sheetData sheetId="12">
        <row r="14">
          <cell r="D14" t="str">
            <v>Small HFO</v>
          </cell>
        </row>
      </sheetData>
      <sheetData sheetId="13"/>
      <sheetData sheetId="14" refreshError="1"/>
      <sheetData sheetId="15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vid Swales" id="{65E1BAB9-0C52-482F-A77B-3FDB9EEEEE70}" userId="S::David.Swales@ahdb.org.uk::22223fc7-a546-47c0-ae62-5880c9663d06" providerId="AD"/>
  <person displayName="Susie Stannard" id="{BA39D850-B775-49FA-8828-C3283D2843DA}" userId="S::Susie.Stannard@ahdb.org.uk::fbcd925b-35bf-4ac4-b5c4-aa6626aa288c" providerId="AD"/>
</personList>
</file>

<file path=xl/theme/theme1.xml><?xml version="1.0" encoding="utf-8"?>
<a:theme xmlns:a="http://schemas.openxmlformats.org/drawingml/2006/main" name="AHDB graphs">
  <a:themeElements>
    <a:clrScheme name="AHDB graphs">
      <a:dk1>
        <a:srgbClr val="575756"/>
      </a:dk1>
      <a:lt1>
        <a:srgbClr val="FFFFFF"/>
      </a:lt1>
      <a:dk2>
        <a:srgbClr val="974008"/>
      </a:dk2>
      <a:lt2>
        <a:srgbClr val="AA977D"/>
      </a:lt2>
      <a:accent1>
        <a:srgbClr val="0090D3"/>
      </a:accent1>
      <a:accent2>
        <a:srgbClr val="C8D300"/>
      </a:accent2>
      <a:accent3>
        <a:srgbClr val="DA5914"/>
      </a:accent3>
      <a:accent4>
        <a:srgbClr val="B3C6CE"/>
      </a:accent4>
      <a:accent5>
        <a:srgbClr val="1E4451"/>
      </a:accent5>
      <a:accent6>
        <a:srgbClr val="DFD5B3"/>
      </a:accent6>
      <a:hlink>
        <a:srgbClr val="0090D3"/>
      </a:hlink>
      <a:folHlink>
        <a:srgbClr val="8B9C22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AHDB graphs" id="{1529553C-77AA-764C-905C-4490102FD0A5}" vid="{5A95833A-36D2-0745-9D94-86AA2FAA49D3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" dT="2025-09-22T09:00:40.62" personId="{65E1BAB9-0C52-482F-A77B-3FDB9EEEEE70}" id="{F7182487-597F-482E-8B42-207E57D5E540}">
    <text>Where does the 38.2% come from? Should this be 34.8% on p 38 of report</text>
  </threadedComment>
  <threadedComment ref="I11" dT="2025-09-22T12:20:47.16" personId="{BA39D850-B775-49FA-8828-C3283D2843DA}" id="{9C245EF5-8E10-4DC0-8517-84D3DD672138}" parentId="{F7182487-597F-482E-8B42-207E57D5E540}">
    <text xml:space="preserve">I have no idea!  </text>
  </threadedComment>
  <threadedComment ref="I38" dT="2025-09-22T09:04:23.73" personId="{65E1BAB9-0C52-482F-A77B-3FDB9EEEEE70}" id="{9E471C82-8AE1-4DB9-A455-82D3B5158855}">
    <text>2% on p12</text>
  </threadedComment>
  <threadedComment ref="I39" dT="2025-09-22T09:05:00.96" personId="{65E1BAB9-0C52-482F-A77B-3FDB9EEEEE70}" id="{EEBEAA56-58C8-4A7E-9E32-966C03375C47}">
    <text>2% on p12</text>
  </threadedComment>
  <threadedComment ref="I42" dT="2025-09-22T09:05:43.95" personId="{65E1BAB9-0C52-482F-A77B-3FDB9EEEEE70}" id="{3A15E00E-F714-433E-8676-7D66F6F63DFA}">
    <text>3% on p 16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V57"/>
  <sheetViews>
    <sheetView tabSelected="1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A4" sqref="A4"/>
    </sheetView>
  </sheetViews>
  <sheetFormatPr defaultColWidth="9" defaultRowHeight="14.5"/>
  <cols>
    <col min="1" max="1" width="3.5" style="73" customWidth="1"/>
    <col min="2" max="2" width="17.83203125" style="73" customWidth="1"/>
    <col min="3" max="3" width="9" style="74"/>
    <col min="4" max="4" width="9" style="73"/>
    <col min="5" max="5" width="20.25" style="73" bestFit="1" customWidth="1"/>
    <col min="6" max="6" width="0" style="73" hidden="1" customWidth="1"/>
    <col min="7" max="7" width="3.75" style="73" hidden="1" customWidth="1"/>
    <col min="8" max="8" width="17.5" style="73" hidden="1" customWidth="1"/>
    <col min="9" max="9" width="9" style="73" hidden="1" customWidth="1"/>
    <col min="10" max="10" width="28.75" style="74" hidden="1" customWidth="1"/>
    <col min="11" max="11" width="9" style="73" hidden="1" customWidth="1"/>
    <col min="12" max="12" width="9" style="73" customWidth="1"/>
    <col min="13" max="13" width="3.83203125" style="73" customWidth="1"/>
    <col min="14" max="14" width="19.33203125" style="73" customWidth="1"/>
    <col min="15" max="15" width="9" style="73"/>
    <col min="16" max="16" width="9" style="74"/>
    <col min="17" max="17" width="20.5" style="73" customWidth="1"/>
    <col min="18" max="18" width="9" style="73"/>
    <col min="19" max="19" width="3.58203125" style="73" customWidth="1"/>
    <col min="20" max="21" width="9" style="73"/>
    <col min="22" max="22" width="5.83203125" style="73" customWidth="1"/>
    <col min="23" max="16384" width="9" style="73"/>
  </cols>
  <sheetData>
    <row r="1" spans="1:22" s="75" customFormat="1" ht="27" customHeight="1">
      <c r="L1" s="76"/>
    </row>
    <row r="2" spans="1:22" s="78" customFormat="1" ht="20.25" customHeight="1">
      <c r="A2" s="77" t="s">
        <v>144</v>
      </c>
      <c r="C2" s="77"/>
      <c r="D2" s="77"/>
      <c r="E2" s="77"/>
      <c r="F2" s="77"/>
      <c r="G2" s="77"/>
      <c r="H2" s="77"/>
      <c r="I2" s="77"/>
      <c r="J2" s="77"/>
      <c r="K2" s="77"/>
    </row>
    <row r="3" spans="1:22" s="80" customFormat="1" ht="14.25" customHeight="1">
      <c r="A3" s="79" t="s">
        <v>143</v>
      </c>
      <c r="D3" s="79"/>
      <c r="G3" s="77"/>
      <c r="H3" s="77"/>
      <c r="I3" s="79"/>
      <c r="M3" s="81"/>
      <c r="N3" s="81"/>
      <c r="O3" s="81"/>
      <c r="P3" s="81"/>
      <c r="Q3" s="81"/>
      <c r="R3" s="81"/>
      <c r="S3" s="81"/>
    </row>
    <row r="5" spans="1:22">
      <c r="A5" s="40"/>
      <c r="B5" s="42" t="s">
        <v>105</v>
      </c>
      <c r="C5" s="41"/>
      <c r="D5" s="40"/>
      <c r="E5" s="40"/>
      <c r="G5" s="43"/>
      <c r="H5" s="45" t="s">
        <v>106</v>
      </c>
      <c r="I5" s="44"/>
      <c r="J5" s="44"/>
      <c r="K5" s="43"/>
      <c r="M5" s="51"/>
      <c r="N5" s="52" t="s">
        <v>136</v>
      </c>
      <c r="O5" s="51"/>
      <c r="P5" s="53"/>
      <c r="Q5" s="53"/>
    </row>
    <row r="6" spans="1:22">
      <c r="A6" s="40"/>
      <c r="B6" s="41" t="s">
        <v>108</v>
      </c>
      <c r="C6" s="41"/>
      <c r="D6" s="40"/>
      <c r="E6" s="40"/>
      <c r="G6" s="43"/>
      <c r="H6" s="44" t="s">
        <v>129</v>
      </c>
      <c r="I6" s="44"/>
      <c r="J6" s="44"/>
      <c r="K6" s="43"/>
      <c r="M6" s="51"/>
      <c r="N6" s="53" t="s">
        <v>131</v>
      </c>
      <c r="O6" s="51"/>
      <c r="P6" s="53"/>
      <c r="Q6" s="53"/>
    </row>
    <row r="7" spans="1:22">
      <c r="A7" s="40"/>
      <c r="B7" s="41"/>
      <c r="C7" s="41"/>
      <c r="D7" s="40"/>
      <c r="E7" s="40"/>
      <c r="G7" s="43"/>
      <c r="H7" s="44" t="s">
        <v>130</v>
      </c>
      <c r="I7" s="44"/>
      <c r="J7" s="44"/>
      <c r="K7" s="43"/>
      <c r="M7" s="51"/>
      <c r="N7" s="53" t="s">
        <v>132</v>
      </c>
      <c r="O7" s="51"/>
      <c r="P7" s="53"/>
      <c r="Q7" s="53"/>
    </row>
    <row r="8" spans="1:22">
      <c r="A8" s="40"/>
      <c r="B8" s="42" t="s">
        <v>0</v>
      </c>
      <c r="C8" s="68" t="s">
        <v>84</v>
      </c>
      <c r="D8" s="68" t="s">
        <v>101</v>
      </c>
      <c r="E8" s="69" t="s">
        <v>135</v>
      </c>
      <c r="G8" s="43"/>
      <c r="H8" s="45" t="s">
        <v>0</v>
      </c>
      <c r="I8" s="43" t="s">
        <v>125</v>
      </c>
      <c r="J8" s="44"/>
      <c r="K8" s="43"/>
      <c r="M8" s="51"/>
      <c r="N8" s="52" t="s">
        <v>0</v>
      </c>
      <c r="O8" s="71" t="s">
        <v>84</v>
      </c>
      <c r="P8" s="71" t="s">
        <v>101</v>
      </c>
      <c r="Q8" s="52" t="s">
        <v>139</v>
      </c>
    </row>
    <row r="9" spans="1:22">
      <c r="A9" s="40"/>
      <c r="B9" s="49" t="s">
        <v>1</v>
      </c>
      <c r="C9" s="46"/>
      <c r="D9" s="46"/>
      <c r="E9" s="40"/>
      <c r="G9" s="43"/>
      <c r="H9" s="54" t="s">
        <v>1</v>
      </c>
      <c r="I9" s="46">
        <v>4.2500000000000003E-2</v>
      </c>
      <c r="J9" s="44"/>
      <c r="K9" s="43"/>
      <c r="M9" s="51"/>
      <c r="N9" s="55" t="s">
        <v>1</v>
      </c>
      <c r="O9" s="46">
        <f>IF(ISBLANK(C9)=TRUE,I9,C9)</f>
        <v>4.2500000000000003E-2</v>
      </c>
      <c r="P9" s="46">
        <f>IF(ISBLANK(D9)=TRUE,I9,D9)</f>
        <v>4.2500000000000003E-2</v>
      </c>
      <c r="Q9" s="53" t="str">
        <f>CONCATENATE(IF(ISBLANK(C9)=TRUE,"Base data","Your data")," / ",IF(ISBLANK(D9)=TRUE,"Base data","Your data"))</f>
        <v>Base data / Base data</v>
      </c>
      <c r="S9" s="58"/>
      <c r="T9" s="58"/>
      <c r="U9" s="58"/>
      <c r="V9" s="58"/>
    </row>
    <row r="10" spans="1:22">
      <c r="A10" s="40"/>
      <c r="B10" s="49" t="s">
        <v>2</v>
      </c>
      <c r="C10" s="46"/>
      <c r="D10" s="46"/>
      <c r="E10" s="40"/>
      <c r="G10" s="43"/>
      <c r="H10" s="54" t="s">
        <v>2</v>
      </c>
      <c r="I10" s="46">
        <v>3.4000000000000002E-2</v>
      </c>
      <c r="J10" s="44"/>
      <c r="K10" s="43"/>
      <c r="M10" s="51"/>
      <c r="N10" s="55" t="s">
        <v>2</v>
      </c>
      <c r="O10" s="46">
        <f>IF(ISBLANK(C10)=TRUE,I10,C10)</f>
        <v>3.4000000000000002E-2</v>
      </c>
      <c r="P10" s="46">
        <f>IF(ISBLANK(D10)=TRUE,I10,D10)</f>
        <v>3.4000000000000002E-2</v>
      </c>
      <c r="Q10" s="53" t="str">
        <f>CONCATENATE(IF(ISBLANK(C10)=TRUE,"Base data","Your data")," / ",IF(ISBLANK(D10)=TRUE,"Base data","Your data"))</f>
        <v>Base data / Base data</v>
      </c>
      <c r="S10" s="58"/>
      <c r="T10" s="59" t="s">
        <v>110</v>
      </c>
      <c r="U10" s="58"/>
      <c r="V10" s="58"/>
    </row>
    <row r="11" spans="1:22">
      <c r="A11" s="40"/>
      <c r="B11" s="49" t="s">
        <v>78</v>
      </c>
      <c r="C11" s="46"/>
      <c r="D11" s="46"/>
      <c r="E11" s="41" t="s">
        <v>126</v>
      </c>
      <c r="G11" s="43"/>
      <c r="H11" s="54" t="s">
        <v>78</v>
      </c>
      <c r="I11" s="46">
        <f>ROUND(I10/38.2%,4)</f>
        <v>8.8999999999999996E-2</v>
      </c>
      <c r="J11" s="44" t="s">
        <v>107</v>
      </c>
      <c r="K11" s="43"/>
      <c r="M11" s="51"/>
      <c r="N11" s="55" t="s">
        <v>78</v>
      </c>
      <c r="O11" s="46">
        <f>IF(ISBLANK(C11)=TRUE,ROUND(O10/38.2%,4),C11)</f>
        <v>8.8999999999999996E-2</v>
      </c>
      <c r="P11" s="46">
        <f>IF(ISBLANK(D11)=TRUE,ROUND(P10/38.2%,4),D11)</f>
        <v>8.8999999999999996E-2</v>
      </c>
      <c r="Q11" s="53" t="str">
        <f>CONCATENATE(IF(ISBLANK(C11)=TRUE,"Calculated","Your data")," / ",IF(ISBLANK(D11)=TRUE,"Calculated","Your data"))</f>
        <v>Calculated / Calculated</v>
      </c>
      <c r="S11" s="58"/>
      <c r="T11" s="60" t="s">
        <v>111</v>
      </c>
      <c r="U11" s="61">
        <f>'AMPE calc'!K12</f>
        <v>43.969085771620925</v>
      </c>
      <c r="V11" s="58" t="s">
        <v>83</v>
      </c>
    </row>
    <row r="12" spans="1:22">
      <c r="A12" s="40"/>
      <c r="B12" s="40"/>
      <c r="C12" s="41"/>
      <c r="D12" s="40"/>
      <c r="E12" s="40"/>
      <c r="G12" s="43"/>
      <c r="H12" s="44" t="s">
        <v>146</v>
      </c>
      <c r="I12" s="43"/>
      <c r="J12" s="44"/>
      <c r="K12" s="43"/>
      <c r="M12" s="51"/>
      <c r="N12" s="51"/>
      <c r="O12" s="51"/>
      <c r="P12" s="53"/>
      <c r="Q12" s="51"/>
      <c r="S12" s="58"/>
      <c r="T12" s="60" t="s">
        <v>112</v>
      </c>
      <c r="U12" s="61">
        <f>'MCVE calc'!K11</f>
        <v>42.350320860571863</v>
      </c>
      <c r="V12" s="58" t="s">
        <v>83</v>
      </c>
    </row>
    <row r="13" spans="1:22">
      <c r="A13" s="40"/>
      <c r="B13" s="40"/>
      <c r="C13" s="41"/>
      <c r="D13" s="40"/>
      <c r="E13" s="40"/>
      <c r="G13" s="43"/>
      <c r="H13" s="43"/>
      <c r="I13" s="43"/>
      <c r="J13" s="44"/>
      <c r="K13" s="43"/>
      <c r="M13" s="51"/>
      <c r="N13" s="51"/>
      <c r="O13" s="51"/>
      <c r="P13" s="53"/>
      <c r="Q13" s="51"/>
      <c r="S13" s="58"/>
      <c r="T13" s="58"/>
      <c r="U13" s="58"/>
      <c r="V13" s="58"/>
    </row>
    <row r="14" spans="1:22">
      <c r="A14" s="40"/>
      <c r="B14" s="42" t="s">
        <v>102</v>
      </c>
      <c r="C14" s="68"/>
      <c r="D14" s="68"/>
      <c r="E14" s="40"/>
      <c r="G14" s="43"/>
      <c r="H14" s="45" t="s">
        <v>102</v>
      </c>
      <c r="I14" s="43" t="s">
        <v>125</v>
      </c>
      <c r="J14" s="44"/>
      <c r="K14" s="43"/>
      <c r="M14" s="51"/>
      <c r="N14" s="52" t="s">
        <v>102</v>
      </c>
      <c r="O14" s="51"/>
      <c r="P14" s="53"/>
      <c r="Q14" s="51"/>
    </row>
    <row r="15" spans="1:22">
      <c r="A15" s="40"/>
      <c r="B15" s="49" t="s">
        <v>4</v>
      </c>
      <c r="C15" s="47"/>
      <c r="D15" s="64"/>
      <c r="E15" s="41"/>
      <c r="G15" s="43"/>
      <c r="H15" s="54" t="s">
        <v>4</v>
      </c>
      <c r="I15" s="47">
        <v>335</v>
      </c>
      <c r="J15" s="44"/>
      <c r="K15" s="43"/>
      <c r="M15" s="51"/>
      <c r="N15" s="55" t="s">
        <v>4</v>
      </c>
      <c r="O15" s="47">
        <f>IF(ISBLANK(C15)=TRUE,I15,C15)</f>
        <v>335</v>
      </c>
      <c r="P15" s="53"/>
      <c r="Q15" s="53" t="str">
        <f t="shared" ref="Q15:Q17" si="0">IF(ISBLANK(C15)=TRUE,"Base data","Your data")</f>
        <v>Base data</v>
      </c>
      <c r="S15" s="58"/>
      <c r="T15" s="58"/>
      <c r="U15" s="58"/>
      <c r="V15" s="58"/>
    </row>
    <row r="16" spans="1:22">
      <c r="A16" s="40"/>
      <c r="B16" s="49" t="s">
        <v>5</v>
      </c>
      <c r="C16" s="47"/>
      <c r="D16" s="64"/>
      <c r="E16" s="41"/>
      <c r="G16" s="43"/>
      <c r="H16" s="54" t="s">
        <v>5</v>
      </c>
      <c r="I16" s="47">
        <v>420</v>
      </c>
      <c r="J16" s="44"/>
      <c r="K16" s="43"/>
      <c r="M16" s="51"/>
      <c r="N16" s="55" t="s">
        <v>5</v>
      </c>
      <c r="O16" s="47">
        <f>IF(ISBLANK(C16)=TRUE,I16,C16)</f>
        <v>420</v>
      </c>
      <c r="P16" s="53"/>
      <c r="Q16" s="53" t="str">
        <f t="shared" si="0"/>
        <v>Base data</v>
      </c>
      <c r="S16" s="58"/>
      <c r="T16" s="59" t="s">
        <v>117</v>
      </c>
      <c r="U16" s="58"/>
      <c r="V16" s="58"/>
    </row>
    <row r="17" spans="1:22">
      <c r="A17" s="40"/>
      <c r="B17" s="49" t="s">
        <v>6</v>
      </c>
      <c r="C17" s="47"/>
      <c r="D17" s="64"/>
      <c r="E17" s="41"/>
      <c r="G17" s="43"/>
      <c r="H17" s="54" t="s">
        <v>6</v>
      </c>
      <c r="I17" s="47">
        <v>420</v>
      </c>
      <c r="J17" s="44"/>
      <c r="K17" s="43"/>
      <c r="M17" s="51"/>
      <c r="N17" s="55" t="s">
        <v>6</v>
      </c>
      <c r="O17" s="47">
        <f>IF(ISBLANK(C17)=TRUE,I17,C17)</f>
        <v>420</v>
      </c>
      <c r="P17" s="53"/>
      <c r="Q17" s="53" t="str">
        <f t="shared" si="0"/>
        <v>Base data</v>
      </c>
      <c r="S17" s="58"/>
      <c r="T17" s="60" t="s">
        <v>111</v>
      </c>
      <c r="U17" s="61" t="str">
        <f>IF('AMPE calc'!L12&gt;0,U11-'AMPE calc'!L12,"N.A.")</f>
        <v>N.A.</v>
      </c>
      <c r="V17" s="58" t="s">
        <v>83</v>
      </c>
    </row>
    <row r="18" spans="1:22">
      <c r="A18" s="40"/>
      <c r="B18" s="49" t="s">
        <v>7</v>
      </c>
      <c r="C18" s="64"/>
      <c r="D18" s="47"/>
      <c r="E18" s="41"/>
      <c r="G18" s="43"/>
      <c r="H18" s="54" t="s">
        <v>7</v>
      </c>
      <c r="I18" s="47">
        <v>425</v>
      </c>
      <c r="J18" s="44"/>
      <c r="K18" s="43"/>
      <c r="M18" s="51"/>
      <c r="N18" s="55" t="s">
        <v>7</v>
      </c>
      <c r="O18" s="47">
        <f>IF(ISBLANK(D18)=TRUE,I18,D18)</f>
        <v>425</v>
      </c>
      <c r="P18" s="53"/>
      <c r="Q18" s="53" t="str">
        <f>IF(ISBLANK(D18)=TRUE,"Base data","Your data")</f>
        <v>Base data</v>
      </c>
      <c r="S18" s="58"/>
      <c r="T18" s="60" t="s">
        <v>112</v>
      </c>
      <c r="U18" s="61" t="str">
        <f>IF('MCVE calc'!L11&gt;0,U12-'MCVE calc'!L11,"N.A.")</f>
        <v>N.A.</v>
      </c>
      <c r="V18" s="58" t="s">
        <v>83</v>
      </c>
    </row>
    <row r="19" spans="1:22">
      <c r="A19" s="40"/>
      <c r="B19" s="49" t="s">
        <v>8</v>
      </c>
      <c r="C19" s="64"/>
      <c r="D19" s="47"/>
      <c r="E19" s="41"/>
      <c r="G19" s="43"/>
      <c r="H19" s="54" t="s">
        <v>8</v>
      </c>
      <c r="I19" s="47">
        <v>455</v>
      </c>
      <c r="J19" s="44"/>
      <c r="K19" s="43"/>
      <c r="M19" s="51"/>
      <c r="N19" s="55" t="s">
        <v>8</v>
      </c>
      <c r="O19" s="47">
        <f>IF(ISBLANK(D19)=TRUE,I19,D19)</f>
        <v>455</v>
      </c>
      <c r="P19" s="53"/>
      <c r="Q19" s="53" t="str">
        <f t="shared" ref="Q19:Q20" si="1">IF(ISBLANK(D19)=TRUE,"Base data","Your data")</f>
        <v>Base data</v>
      </c>
      <c r="S19" s="58"/>
      <c r="T19" s="58"/>
      <c r="U19" s="58"/>
      <c r="V19" s="58"/>
    </row>
    <row r="20" spans="1:22">
      <c r="A20" s="40"/>
      <c r="B20" s="49" t="s">
        <v>122</v>
      </c>
      <c r="C20" s="64"/>
      <c r="D20" s="47"/>
      <c r="E20" s="41" t="s">
        <v>124</v>
      </c>
      <c r="G20" s="43"/>
      <c r="H20" s="54" t="s">
        <v>122</v>
      </c>
      <c r="I20" s="47">
        <v>335</v>
      </c>
      <c r="J20" s="44" t="s">
        <v>123</v>
      </c>
      <c r="K20" s="43"/>
      <c r="M20" s="51"/>
      <c r="N20" s="55" t="s">
        <v>122</v>
      </c>
      <c r="O20" s="47">
        <f>IF(ISBLANK(D20)=TRUE,I20,D20)</f>
        <v>335</v>
      </c>
      <c r="P20" s="53"/>
      <c r="Q20" s="53" t="str">
        <f t="shared" si="1"/>
        <v>Base data</v>
      </c>
    </row>
    <row r="21" spans="1:22">
      <c r="A21" s="40"/>
      <c r="B21" s="40"/>
      <c r="C21" s="40"/>
      <c r="D21" s="40"/>
      <c r="E21" s="41"/>
      <c r="G21" s="43"/>
      <c r="H21" s="43"/>
      <c r="I21" s="43"/>
      <c r="J21" s="44"/>
      <c r="K21" s="43"/>
      <c r="M21" s="51"/>
      <c r="N21" s="51"/>
      <c r="O21" s="51"/>
      <c r="P21" s="53"/>
      <c r="Q21" s="51"/>
      <c r="S21" s="58"/>
      <c r="T21" s="58"/>
      <c r="U21" s="58"/>
      <c r="V21" s="58"/>
    </row>
    <row r="22" spans="1:22">
      <c r="A22" s="40"/>
      <c r="B22" s="40"/>
      <c r="C22" s="40"/>
      <c r="D22" s="40"/>
      <c r="E22" s="41"/>
      <c r="G22" s="43"/>
      <c r="H22" s="43"/>
      <c r="I22" s="43"/>
      <c r="J22" s="44"/>
      <c r="K22" s="43"/>
      <c r="M22" s="51"/>
      <c r="N22" s="51"/>
      <c r="O22" s="51"/>
      <c r="P22" s="53"/>
      <c r="Q22" s="51"/>
      <c r="S22" s="58"/>
      <c r="T22" s="59" t="s">
        <v>118</v>
      </c>
      <c r="U22" s="58"/>
      <c r="V22" s="58"/>
    </row>
    <row r="23" spans="1:22">
      <c r="A23" s="40"/>
      <c r="B23" s="42" t="s">
        <v>103</v>
      </c>
      <c r="C23" s="40"/>
      <c r="D23" s="40"/>
      <c r="E23" s="41"/>
      <c r="G23" s="43"/>
      <c r="H23" s="45" t="s">
        <v>147</v>
      </c>
      <c r="I23" s="43"/>
      <c r="J23" s="44"/>
      <c r="K23" s="43"/>
      <c r="M23" s="51"/>
      <c r="N23" s="52" t="s">
        <v>103</v>
      </c>
      <c r="O23" s="51"/>
      <c r="P23" s="53"/>
      <c r="Q23" s="51"/>
      <c r="S23" s="58"/>
      <c r="T23" s="60" t="s">
        <v>111</v>
      </c>
      <c r="U23" s="61" t="str">
        <f>IF(O54&gt;0,U11-'AMPE calc'!L12-O54,"N.A.")</f>
        <v>N.A.</v>
      </c>
      <c r="V23" s="58" t="s">
        <v>83</v>
      </c>
    </row>
    <row r="24" spans="1:22">
      <c r="A24" s="40"/>
      <c r="B24" s="49" t="s">
        <v>4</v>
      </c>
      <c r="C24" s="47"/>
      <c r="D24" s="64"/>
      <c r="E24" s="41"/>
      <c r="G24" s="43"/>
      <c r="H24" s="54" t="s">
        <v>4</v>
      </c>
      <c r="I24" s="47">
        <v>5684</v>
      </c>
      <c r="J24" s="44"/>
      <c r="K24" s="43"/>
      <c r="M24" s="51"/>
      <c r="N24" s="55" t="s">
        <v>4</v>
      </c>
      <c r="O24" s="47">
        <f>IF(ISBLANK(C24)=TRUE,I24,C24)</f>
        <v>5684</v>
      </c>
      <c r="P24" s="53"/>
      <c r="Q24" s="53" t="str">
        <f t="shared" ref="Q24:Q26" si="2">IF(ISBLANK(C24)=TRUE,"Base data","Your data")</f>
        <v>Base data</v>
      </c>
      <c r="S24" s="58"/>
      <c r="T24" s="60" t="s">
        <v>112</v>
      </c>
      <c r="U24" s="61" t="str">
        <f>IF(O55&gt;0,U12-'MCVE calc'!L11-O55,"N.A.")</f>
        <v>N.A.</v>
      </c>
      <c r="V24" s="58" t="s">
        <v>83</v>
      </c>
    </row>
    <row r="25" spans="1:22">
      <c r="A25" s="40"/>
      <c r="B25" s="49" t="s">
        <v>5</v>
      </c>
      <c r="C25" s="47"/>
      <c r="D25" s="64"/>
      <c r="E25" s="41"/>
      <c r="G25" s="43"/>
      <c r="H25" s="54" t="s">
        <v>5</v>
      </c>
      <c r="I25" s="47">
        <v>2074</v>
      </c>
      <c r="J25" s="44"/>
      <c r="K25" s="43"/>
      <c r="M25" s="51"/>
      <c r="N25" s="55" t="s">
        <v>5</v>
      </c>
      <c r="O25" s="47">
        <v>2074</v>
      </c>
      <c r="P25" s="53"/>
      <c r="Q25" s="53" t="str">
        <f t="shared" si="2"/>
        <v>Base data</v>
      </c>
      <c r="S25" s="58"/>
      <c r="T25" s="58"/>
      <c r="U25" s="58"/>
      <c r="V25" s="58"/>
    </row>
    <row r="26" spans="1:22">
      <c r="A26" s="40"/>
      <c r="B26" s="49" t="s">
        <v>113</v>
      </c>
      <c r="C26" s="47"/>
      <c r="D26" s="64"/>
      <c r="E26" s="41"/>
      <c r="G26" s="43"/>
      <c r="H26" s="54" t="s">
        <v>113</v>
      </c>
      <c r="I26" s="47">
        <v>668</v>
      </c>
      <c r="J26" s="44"/>
      <c r="K26" s="43"/>
      <c r="M26" s="51"/>
      <c r="N26" s="55" t="s">
        <v>113</v>
      </c>
      <c r="O26" s="47">
        <f>IF(ISBLANK(C26)=TRUE,I26,C26)</f>
        <v>668</v>
      </c>
      <c r="P26" s="53"/>
      <c r="Q26" s="53" t="str">
        <f t="shared" si="2"/>
        <v>Base data</v>
      </c>
    </row>
    <row r="27" spans="1:22">
      <c r="A27" s="40"/>
      <c r="B27" s="50" t="s">
        <v>6</v>
      </c>
      <c r="C27" s="48"/>
      <c r="D27" s="65"/>
      <c r="E27" s="41" t="s">
        <v>126</v>
      </c>
      <c r="G27" s="43"/>
      <c r="H27" s="56" t="s">
        <v>6</v>
      </c>
      <c r="I27" s="48">
        <f>I25-103</f>
        <v>1971</v>
      </c>
      <c r="J27" s="44" t="s">
        <v>120</v>
      </c>
      <c r="K27" s="43"/>
      <c r="M27" s="51"/>
      <c r="N27" s="57" t="s">
        <v>6</v>
      </c>
      <c r="O27" s="48">
        <f>IF(ISBLANK(C27)=TRUE,O25-103,C27)</f>
        <v>1971</v>
      </c>
      <c r="P27" s="53"/>
      <c r="Q27" s="53" t="str">
        <f>IF(ISBLANK(C27)=TRUE,"Calculated","Your data")</f>
        <v>Calculated</v>
      </c>
    </row>
    <row r="28" spans="1:22">
      <c r="A28" s="40"/>
      <c r="B28" s="49" t="s">
        <v>79</v>
      </c>
      <c r="C28" s="64"/>
      <c r="D28" s="47"/>
      <c r="E28" s="41"/>
      <c r="G28" s="43"/>
      <c r="H28" s="54" t="s">
        <v>79</v>
      </c>
      <c r="I28" s="47">
        <v>3804</v>
      </c>
      <c r="J28" s="44"/>
      <c r="K28" s="43"/>
      <c r="M28" s="51"/>
      <c r="N28" s="55" t="s">
        <v>79</v>
      </c>
      <c r="O28" s="47">
        <v>3804</v>
      </c>
      <c r="P28" s="53"/>
      <c r="Q28" s="53" t="str">
        <f t="shared" ref="Q28:Q29" si="3">IF(ISBLANK(D28)=TRUE,"Base data","Your data")</f>
        <v>Base data</v>
      </c>
    </row>
    <row r="29" spans="1:22">
      <c r="A29" s="40"/>
      <c r="B29" s="49" t="s">
        <v>70</v>
      </c>
      <c r="C29" s="64"/>
      <c r="D29" s="47"/>
      <c r="E29" s="41"/>
      <c r="G29" s="43"/>
      <c r="H29" s="54" t="s">
        <v>70</v>
      </c>
      <c r="I29" s="47">
        <v>724</v>
      </c>
      <c r="J29" s="44"/>
      <c r="K29" s="43"/>
      <c r="M29" s="51"/>
      <c r="N29" s="55" t="s">
        <v>70</v>
      </c>
      <c r="O29" s="47">
        <f>IF(ISBLANK(D29)=TRUE,I29,D29)</f>
        <v>724</v>
      </c>
      <c r="P29" s="53"/>
      <c r="Q29" s="53" t="str">
        <f t="shared" si="3"/>
        <v>Base data</v>
      </c>
    </row>
    <row r="30" spans="1:22">
      <c r="A30" s="40"/>
      <c r="B30" s="50" t="s">
        <v>104</v>
      </c>
      <c r="C30" s="65"/>
      <c r="D30" s="48"/>
      <c r="E30" s="41" t="s">
        <v>126</v>
      </c>
      <c r="G30" s="43"/>
      <c r="H30" s="56" t="s">
        <v>104</v>
      </c>
      <c r="I30" s="82">
        <f>I24*0.95</f>
        <v>5399.8</v>
      </c>
      <c r="J30" s="44" t="s">
        <v>148</v>
      </c>
      <c r="K30" s="43"/>
      <c r="M30" s="51"/>
      <c r="N30" s="57" t="s">
        <v>104</v>
      </c>
      <c r="O30" s="48">
        <f>IF(ISBLANK(D30)=TRUE,O24-300,D30)</f>
        <v>5384</v>
      </c>
      <c r="P30" s="53"/>
      <c r="Q30" s="53" t="str">
        <f>IF(ISBLANK(D30)=TRUE,"Calculated","Your data")</f>
        <v>Calculated</v>
      </c>
    </row>
    <row r="31" spans="1:22">
      <c r="A31" s="40"/>
      <c r="B31" s="40"/>
      <c r="C31" s="40"/>
      <c r="D31" s="40"/>
      <c r="E31" s="41"/>
      <c r="G31" s="43"/>
      <c r="H31" s="43"/>
      <c r="I31" s="43"/>
      <c r="J31" s="44"/>
      <c r="K31" s="43"/>
      <c r="M31" s="51"/>
      <c r="N31" s="53" t="s">
        <v>149</v>
      </c>
      <c r="O31" s="51"/>
      <c r="P31" s="53"/>
      <c r="Q31" s="51"/>
    </row>
    <row r="32" spans="1:22">
      <c r="A32" s="40"/>
      <c r="B32" s="40"/>
      <c r="C32" s="40"/>
      <c r="D32" s="40"/>
      <c r="E32" s="41"/>
      <c r="G32" s="43"/>
      <c r="H32" s="43"/>
      <c r="I32" s="43"/>
      <c r="J32" s="44"/>
      <c r="K32" s="43"/>
      <c r="M32" s="51"/>
      <c r="N32" s="51"/>
      <c r="O32" s="51"/>
      <c r="P32" s="53"/>
      <c r="Q32" s="51"/>
    </row>
    <row r="33" spans="1:17">
      <c r="A33" s="40"/>
      <c r="B33" s="42" t="s">
        <v>128</v>
      </c>
      <c r="C33" s="40"/>
      <c r="D33" s="40"/>
      <c r="E33" s="41"/>
      <c r="G33" s="43"/>
      <c r="H33" s="45" t="s">
        <v>128</v>
      </c>
      <c r="I33" s="43"/>
      <c r="J33" s="43"/>
      <c r="K33" s="43"/>
      <c r="M33" s="51"/>
      <c r="N33" s="52" t="s">
        <v>128</v>
      </c>
      <c r="O33" s="51"/>
      <c r="P33" s="51"/>
      <c r="Q33" s="51"/>
    </row>
    <row r="34" spans="1:17">
      <c r="A34" s="40"/>
      <c r="B34" s="49" t="s">
        <v>127</v>
      </c>
      <c r="C34" s="46"/>
      <c r="D34" s="63"/>
      <c r="E34" s="41"/>
      <c r="G34" s="43"/>
      <c r="H34" s="54" t="s">
        <v>127</v>
      </c>
      <c r="I34" s="46">
        <v>9.2999999999999999E-2</v>
      </c>
      <c r="J34" s="43"/>
      <c r="K34" s="43"/>
      <c r="M34" s="51"/>
      <c r="N34" s="55" t="s">
        <v>127</v>
      </c>
      <c r="O34" s="46">
        <f>IF(ISBLANK(C34)=TRUE,I34,C34)</f>
        <v>9.2999999999999999E-2</v>
      </c>
      <c r="P34" s="51"/>
      <c r="Q34" s="53" t="str">
        <f>IF(ISBLANK(C34)=TRUE,"Base data","Your data")</f>
        <v>Base data</v>
      </c>
    </row>
    <row r="35" spans="1:17">
      <c r="A35" s="40"/>
      <c r="B35" s="40"/>
      <c r="C35" s="40"/>
      <c r="D35" s="40"/>
      <c r="E35" s="41"/>
      <c r="G35" s="43"/>
      <c r="H35" s="43"/>
      <c r="I35" s="43"/>
      <c r="J35" s="43"/>
      <c r="K35" s="43"/>
      <c r="M35" s="51"/>
      <c r="N35" s="51"/>
      <c r="O35" s="51"/>
      <c r="P35" s="51"/>
      <c r="Q35" s="51"/>
    </row>
    <row r="36" spans="1:17">
      <c r="A36" s="40"/>
      <c r="B36" s="40"/>
      <c r="C36" s="40"/>
      <c r="D36" s="40"/>
      <c r="E36" s="41"/>
      <c r="G36" s="43"/>
      <c r="H36" s="43"/>
      <c r="I36" s="43"/>
      <c r="J36" s="44"/>
      <c r="K36" s="43"/>
      <c r="M36" s="51"/>
      <c r="N36" s="51"/>
      <c r="O36" s="51"/>
      <c r="P36" s="51"/>
      <c r="Q36" s="51"/>
    </row>
    <row r="37" spans="1:17">
      <c r="A37" s="40"/>
      <c r="B37" s="42" t="s">
        <v>115</v>
      </c>
      <c r="C37" s="40"/>
      <c r="D37" s="40"/>
      <c r="E37" s="41"/>
      <c r="G37" s="43"/>
      <c r="H37" s="45" t="s">
        <v>115</v>
      </c>
      <c r="I37" s="43"/>
      <c r="J37" s="44"/>
      <c r="K37" s="43"/>
      <c r="M37" s="51"/>
      <c r="N37" s="52" t="s">
        <v>115</v>
      </c>
      <c r="O37" s="51"/>
      <c r="P37" s="53"/>
      <c r="Q37" s="51"/>
    </row>
    <row r="38" spans="1:17">
      <c r="A38" s="40"/>
      <c r="B38" s="49" t="s">
        <v>4</v>
      </c>
      <c r="C38" s="46"/>
      <c r="D38" s="63"/>
      <c r="E38" s="41"/>
      <c r="G38" s="43"/>
      <c r="H38" s="54" t="s">
        <v>4</v>
      </c>
      <c r="I38" s="46">
        <v>0.01</v>
      </c>
      <c r="J38" s="44"/>
      <c r="K38" s="43"/>
      <c r="M38" s="51"/>
      <c r="N38" s="55" t="s">
        <v>4</v>
      </c>
      <c r="O38" s="46">
        <f>IF(ISBLANK(C38)=TRUE,I38,C38)</f>
        <v>0.01</v>
      </c>
      <c r="P38" s="53"/>
      <c r="Q38" s="53" t="str">
        <f t="shared" ref="Q38:Q39" si="4">IF(ISBLANK(C38)=TRUE,"Base data","Your data")</f>
        <v>Base data</v>
      </c>
    </row>
    <row r="39" spans="1:17">
      <c r="A39" s="40"/>
      <c r="B39" s="49" t="s">
        <v>5</v>
      </c>
      <c r="C39" s="46"/>
      <c r="D39" s="63"/>
      <c r="E39" s="41"/>
      <c r="G39" s="43"/>
      <c r="H39" s="54" t="s">
        <v>5</v>
      </c>
      <c r="I39" s="46">
        <v>5.0000000000000001E-3</v>
      </c>
      <c r="J39" s="44"/>
      <c r="K39" s="43"/>
      <c r="M39" s="51"/>
      <c r="N39" s="55" t="s">
        <v>5</v>
      </c>
      <c r="O39" s="46">
        <f>IF(ISBLANK(C39)=TRUE,I39,C39)</f>
        <v>5.0000000000000001E-3</v>
      </c>
      <c r="P39" s="53"/>
      <c r="Q39" s="53" t="str">
        <f t="shared" si="4"/>
        <v>Base data</v>
      </c>
    </row>
    <row r="40" spans="1:17">
      <c r="A40" s="40"/>
      <c r="B40" s="49" t="s">
        <v>6</v>
      </c>
      <c r="C40" s="46"/>
      <c r="D40" s="63"/>
      <c r="E40" s="41" t="s">
        <v>126</v>
      </c>
      <c r="G40" s="43"/>
      <c r="H40" s="54" t="s">
        <v>6</v>
      </c>
      <c r="I40" s="46">
        <f>I39</f>
        <v>5.0000000000000001E-3</v>
      </c>
      <c r="J40" s="44" t="s">
        <v>121</v>
      </c>
      <c r="K40" s="43"/>
      <c r="M40" s="51"/>
      <c r="N40" s="55" t="s">
        <v>6</v>
      </c>
      <c r="O40" s="46">
        <f>IF(ISBLANK(C40)=TRUE,O39,C40)</f>
        <v>5.0000000000000001E-3</v>
      </c>
      <c r="P40" s="53"/>
      <c r="Q40" s="53" t="str">
        <f>IF(ISBLANK(C40)=TRUE,"Calculated","Your data")</f>
        <v>Calculated</v>
      </c>
    </row>
    <row r="41" spans="1:17">
      <c r="A41" s="40"/>
      <c r="B41" s="49" t="s">
        <v>79</v>
      </c>
      <c r="C41" s="63"/>
      <c r="D41" s="46"/>
      <c r="E41" s="41"/>
      <c r="G41" s="43"/>
      <c r="H41" s="54" t="s">
        <v>79</v>
      </c>
      <c r="I41" s="46">
        <v>7.4999999999999997E-3</v>
      </c>
      <c r="J41" s="44"/>
      <c r="K41" s="43"/>
      <c r="M41" s="51"/>
      <c r="N41" s="55" t="s">
        <v>79</v>
      </c>
      <c r="O41" s="46">
        <f>IF(ISBLANK(D41)=TRUE,I41,D41)</f>
        <v>7.4999999999999997E-3</v>
      </c>
      <c r="P41" s="53"/>
      <c r="Q41" s="53" t="str">
        <f t="shared" ref="Q41:Q42" si="5">IF(ISBLANK(D41)=TRUE,"Base data","Your data")</f>
        <v>Base data</v>
      </c>
    </row>
    <row r="42" spans="1:17">
      <c r="A42" s="40"/>
      <c r="B42" s="49" t="s">
        <v>70</v>
      </c>
      <c r="C42" s="63"/>
      <c r="D42" s="46"/>
      <c r="E42" s="41"/>
      <c r="G42" s="43"/>
      <c r="H42" s="54" t="s">
        <v>70</v>
      </c>
      <c r="I42" s="46">
        <v>0.01</v>
      </c>
      <c r="J42" s="44"/>
      <c r="K42" s="43"/>
      <c r="M42" s="51"/>
      <c r="N42" s="55" t="s">
        <v>70</v>
      </c>
      <c r="O42" s="46">
        <f>IF(ISBLANK(D42)=TRUE,I42,D42)</f>
        <v>0.01</v>
      </c>
      <c r="P42" s="53"/>
      <c r="Q42" s="53" t="str">
        <f t="shared" si="5"/>
        <v>Base data</v>
      </c>
    </row>
    <row r="43" spans="1:17">
      <c r="A43" s="40"/>
      <c r="B43" s="40"/>
      <c r="C43" s="40"/>
      <c r="D43" s="40"/>
      <c r="E43" s="41"/>
      <c r="G43" s="43"/>
      <c r="H43" s="43"/>
      <c r="I43" s="43"/>
      <c r="J43" s="44"/>
      <c r="K43" s="43"/>
      <c r="M43" s="51"/>
      <c r="N43" s="51"/>
      <c r="O43" s="51"/>
      <c r="P43" s="53"/>
      <c r="Q43" s="51"/>
    </row>
    <row r="44" spans="1:17">
      <c r="A44" s="40"/>
      <c r="B44" s="40"/>
      <c r="C44" s="40"/>
      <c r="D44" s="40"/>
      <c r="E44" s="41"/>
      <c r="G44" s="43"/>
      <c r="H44" s="43"/>
      <c r="I44" s="43"/>
      <c r="J44" s="44"/>
      <c r="K44" s="43"/>
      <c r="M44" s="51"/>
      <c r="N44" s="51"/>
      <c r="O44" s="51"/>
      <c r="P44" s="53"/>
      <c r="Q44" s="51"/>
    </row>
    <row r="45" spans="1:17">
      <c r="A45" s="40"/>
      <c r="B45" s="42" t="s">
        <v>134</v>
      </c>
      <c r="C45" s="40"/>
      <c r="D45" s="40"/>
      <c r="E45" s="41"/>
      <c r="G45" s="43"/>
      <c r="H45" s="43" t="s">
        <v>134</v>
      </c>
      <c r="I45" s="43"/>
      <c r="J45" s="44"/>
      <c r="K45" s="43"/>
      <c r="M45" s="51"/>
      <c r="N45" s="52" t="s">
        <v>134</v>
      </c>
      <c r="O45" s="51"/>
      <c r="P45" s="53"/>
      <c r="Q45" s="51"/>
    </row>
    <row r="46" spans="1:17">
      <c r="A46" s="40"/>
      <c r="B46" s="42" t="s">
        <v>133</v>
      </c>
      <c r="C46" s="40"/>
      <c r="D46" s="40"/>
      <c r="E46" s="41"/>
      <c r="G46" s="43"/>
      <c r="H46" s="43" t="s">
        <v>133</v>
      </c>
      <c r="I46" s="43"/>
      <c r="J46" s="44"/>
      <c r="K46" s="43"/>
      <c r="M46" s="51"/>
      <c r="N46" s="52" t="s">
        <v>133</v>
      </c>
      <c r="O46" s="51"/>
      <c r="P46" s="53"/>
      <c r="Q46" s="51"/>
    </row>
    <row r="47" spans="1:17">
      <c r="A47" s="40"/>
      <c r="B47" s="42"/>
      <c r="C47" s="40"/>
      <c r="D47" s="40"/>
      <c r="E47" s="41"/>
      <c r="G47" s="43"/>
      <c r="H47" s="43"/>
      <c r="I47" s="43"/>
      <c r="J47" s="44"/>
      <c r="K47" s="43"/>
      <c r="M47" s="51"/>
      <c r="N47" s="51"/>
      <c r="O47" s="51"/>
      <c r="P47" s="53"/>
      <c r="Q47" s="51"/>
    </row>
    <row r="48" spans="1:17">
      <c r="A48" s="40"/>
      <c r="B48" s="42" t="s">
        <v>137</v>
      </c>
      <c r="C48" s="40"/>
      <c r="D48" s="40"/>
      <c r="E48" s="41"/>
      <c r="G48" s="43"/>
      <c r="H48" s="45" t="s">
        <v>116</v>
      </c>
      <c r="I48" s="43"/>
      <c r="J48" s="44"/>
      <c r="K48" s="43"/>
      <c r="M48" s="51"/>
      <c r="N48" s="52" t="s">
        <v>137</v>
      </c>
      <c r="O48" s="51"/>
      <c r="P48" s="53"/>
      <c r="Q48" s="51"/>
    </row>
    <row r="49" spans="1:17">
      <c r="A49" s="40"/>
      <c r="B49" s="49" t="s">
        <v>84</v>
      </c>
      <c r="C49" s="70"/>
      <c r="D49" s="64"/>
      <c r="E49" s="41"/>
      <c r="G49" s="43"/>
      <c r="H49" s="54" t="s">
        <v>84</v>
      </c>
      <c r="I49" s="47">
        <v>0</v>
      </c>
      <c r="J49" s="44"/>
      <c r="K49" s="43"/>
      <c r="M49" s="51"/>
      <c r="N49" s="55" t="s">
        <v>84</v>
      </c>
      <c r="O49" s="70">
        <f>IF(ISBLANK(C49)=TRUE,I49,C49)</f>
        <v>0</v>
      </c>
      <c r="P49" s="53"/>
      <c r="Q49" s="53" t="str">
        <f>IF(ISBLANK(C49)=TRUE,"Excluded","Your data")</f>
        <v>Excluded</v>
      </c>
    </row>
    <row r="50" spans="1:17">
      <c r="A50" s="40"/>
      <c r="B50" s="49" t="s">
        <v>101</v>
      </c>
      <c r="C50" s="64"/>
      <c r="D50" s="70"/>
      <c r="E50" s="41"/>
      <c r="G50" s="43"/>
      <c r="H50" s="54" t="s">
        <v>101</v>
      </c>
      <c r="I50" s="47">
        <v>0</v>
      </c>
      <c r="J50" s="44"/>
      <c r="K50" s="43"/>
      <c r="M50" s="51"/>
      <c r="N50" s="55" t="s">
        <v>101</v>
      </c>
      <c r="O50" s="70">
        <f>IF(ISBLANK(D50)=TRUE,I50,D50)</f>
        <v>0</v>
      </c>
      <c r="P50" s="53"/>
      <c r="Q50" s="53" t="str">
        <f>IF(ISBLANK(D50)=TRUE,"Excluded","Your data")</f>
        <v>Excluded</v>
      </c>
    </row>
    <row r="51" spans="1:17">
      <c r="A51" s="40"/>
      <c r="B51" s="40"/>
      <c r="C51" s="40"/>
      <c r="D51" s="40"/>
      <c r="E51" s="41"/>
      <c r="G51" s="43"/>
      <c r="H51" s="43"/>
      <c r="I51" s="43"/>
      <c r="J51" s="44"/>
      <c r="K51" s="43"/>
      <c r="M51" s="51"/>
      <c r="N51" s="51"/>
      <c r="O51" s="51"/>
      <c r="P51" s="53"/>
      <c r="Q51" s="51"/>
    </row>
    <row r="52" spans="1:17">
      <c r="A52" s="40"/>
      <c r="B52" s="40"/>
      <c r="C52" s="40"/>
      <c r="D52" s="40"/>
      <c r="E52" s="41"/>
      <c r="G52" s="43"/>
      <c r="H52" s="43"/>
      <c r="I52" s="43"/>
      <c r="J52" s="44"/>
      <c r="K52" s="43"/>
      <c r="M52" s="51"/>
      <c r="N52" s="51"/>
      <c r="O52" s="51"/>
      <c r="P52" s="53"/>
      <c r="Q52" s="51"/>
    </row>
    <row r="53" spans="1:17">
      <c r="A53" s="40"/>
      <c r="B53" s="42" t="s">
        <v>119</v>
      </c>
      <c r="C53" s="40"/>
      <c r="D53" s="40"/>
      <c r="E53" s="41"/>
      <c r="G53" s="43"/>
      <c r="H53" s="45" t="s">
        <v>119</v>
      </c>
      <c r="I53" s="43"/>
      <c r="J53" s="44"/>
      <c r="K53" s="43"/>
      <c r="M53" s="51"/>
      <c r="N53" s="52" t="s">
        <v>119</v>
      </c>
      <c r="O53" s="51"/>
      <c r="P53" s="53"/>
      <c r="Q53" s="51"/>
    </row>
    <row r="54" spans="1:17">
      <c r="A54" s="40"/>
      <c r="B54" s="49" t="s">
        <v>84</v>
      </c>
      <c r="C54" s="47"/>
      <c r="D54" s="64"/>
      <c r="E54" s="41"/>
      <c r="G54" s="43"/>
      <c r="H54" s="54" t="s">
        <v>84</v>
      </c>
      <c r="I54" s="47">
        <v>0</v>
      </c>
      <c r="J54" s="44"/>
      <c r="K54" s="43"/>
      <c r="M54" s="51"/>
      <c r="N54" s="55" t="s">
        <v>84</v>
      </c>
      <c r="O54" s="47">
        <f>IF(ISBLANK(C54)=TRUE,I54,C54)</f>
        <v>0</v>
      </c>
      <c r="P54" s="53"/>
      <c r="Q54" s="53" t="str">
        <f>IF(ISBLANK(C54)=TRUE,"Excluded","Your data")</f>
        <v>Excluded</v>
      </c>
    </row>
    <row r="55" spans="1:17">
      <c r="A55" s="40"/>
      <c r="B55" s="49" t="s">
        <v>101</v>
      </c>
      <c r="C55" s="64"/>
      <c r="D55" s="47"/>
      <c r="E55" s="41"/>
      <c r="G55" s="43"/>
      <c r="H55" s="54" t="s">
        <v>101</v>
      </c>
      <c r="I55" s="47">
        <v>0</v>
      </c>
      <c r="J55" s="44"/>
      <c r="K55" s="43"/>
      <c r="M55" s="51"/>
      <c r="N55" s="55" t="s">
        <v>101</v>
      </c>
      <c r="O55" s="47">
        <f>IF(ISBLANK(D55)=TRUE,I55,D55)</f>
        <v>0</v>
      </c>
      <c r="P55" s="53"/>
      <c r="Q55" s="53" t="str">
        <f>IF(ISBLANK(D55)=TRUE,"Excluded","Your data")</f>
        <v>Excluded</v>
      </c>
    </row>
    <row r="56" spans="1:17">
      <c r="A56" s="40"/>
      <c r="B56" s="40"/>
      <c r="C56" s="41"/>
      <c r="D56" s="40"/>
      <c r="E56" s="41"/>
      <c r="G56" s="43"/>
      <c r="H56" s="43"/>
      <c r="I56" s="43"/>
      <c r="J56" s="44"/>
      <c r="K56" s="43"/>
      <c r="M56" s="51"/>
      <c r="N56" s="51"/>
      <c r="O56" s="51"/>
      <c r="P56" s="53"/>
      <c r="Q56" s="51"/>
    </row>
    <row r="57" spans="1:17">
      <c r="A57" s="40"/>
      <c r="B57" s="40"/>
      <c r="C57" s="41"/>
      <c r="D57" s="40"/>
      <c r="E57" s="41"/>
      <c r="G57" s="43"/>
      <c r="H57" s="43"/>
      <c r="I57" s="43"/>
      <c r="J57" s="44"/>
      <c r="K57" s="43"/>
      <c r="M57" s="51"/>
      <c r="N57" s="51"/>
      <c r="O57" s="51"/>
      <c r="P57" s="53"/>
      <c r="Q57" s="51"/>
    </row>
  </sheetData>
  <protectedRanges>
    <protectedRange sqref="C24:D30" name="Range1"/>
    <protectedRange sqref="U17:U24" name="Range1_1"/>
  </protectedRange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20"/>
  <sheetViews>
    <sheetView showGridLines="0" workbookViewId="0">
      <selection activeCell="A20" sqref="A20"/>
    </sheetView>
  </sheetViews>
  <sheetFormatPr defaultRowHeight="14"/>
  <cols>
    <col min="1" max="1" width="26.25" customWidth="1"/>
    <col min="2" max="6" width="9.58203125" customWidth="1"/>
  </cols>
  <sheetData>
    <row r="1" spans="1:6">
      <c r="A1" s="1" t="s">
        <v>85</v>
      </c>
      <c r="B1" s="2"/>
      <c r="C1" s="2"/>
      <c r="D1" s="2"/>
      <c r="E1" s="2"/>
      <c r="F1" s="2"/>
    </row>
    <row r="2" spans="1:6" s="35" customFormat="1" ht="28">
      <c r="A2" s="3" t="s">
        <v>3</v>
      </c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</row>
    <row r="3" spans="1:6">
      <c r="A3" s="2" t="s">
        <v>9</v>
      </c>
      <c r="B3" s="5">
        <v>43</v>
      </c>
      <c r="C3" s="5">
        <v>138</v>
      </c>
      <c r="D3" s="5">
        <v>138</v>
      </c>
      <c r="E3" s="5">
        <v>50</v>
      </c>
      <c r="F3" s="5">
        <v>134</v>
      </c>
    </row>
    <row r="4" spans="1:6">
      <c r="A4" s="2" t="s">
        <v>10</v>
      </c>
      <c r="B4" s="5">
        <v>70</v>
      </c>
      <c r="C4" s="5">
        <v>70</v>
      </c>
      <c r="D4" s="5">
        <v>70</v>
      </c>
      <c r="E4" s="5">
        <v>75</v>
      </c>
      <c r="F4" s="5">
        <v>70</v>
      </c>
    </row>
    <row r="5" spans="1:6">
      <c r="A5" s="2" t="s">
        <v>11</v>
      </c>
      <c r="B5" s="5">
        <v>21</v>
      </c>
      <c r="C5" s="5">
        <v>21</v>
      </c>
      <c r="D5" s="5">
        <v>21</v>
      </c>
      <c r="E5" s="5">
        <v>61</v>
      </c>
      <c r="F5" s="5">
        <v>21</v>
      </c>
    </row>
    <row r="6" spans="1:6">
      <c r="A6" s="2" t="s">
        <v>12</v>
      </c>
      <c r="B6" s="5">
        <v>10</v>
      </c>
      <c r="C6" s="5">
        <v>25</v>
      </c>
      <c r="D6" s="5">
        <v>25</v>
      </c>
      <c r="E6" s="5">
        <v>12</v>
      </c>
      <c r="F6" s="5">
        <v>25</v>
      </c>
    </row>
    <row r="7" spans="1:6">
      <c r="A7" s="2" t="s">
        <v>13</v>
      </c>
      <c r="B7" s="5">
        <v>20</v>
      </c>
      <c r="C7" s="5">
        <v>25</v>
      </c>
      <c r="D7" s="5">
        <v>25</v>
      </c>
      <c r="E7" s="5">
        <v>25</v>
      </c>
      <c r="F7" s="5">
        <v>25</v>
      </c>
    </row>
    <row r="8" spans="1:6">
      <c r="A8" s="2" t="s">
        <v>14</v>
      </c>
      <c r="B8" s="5">
        <v>20</v>
      </c>
      <c r="C8" s="5">
        <v>6</v>
      </c>
      <c r="D8" s="5">
        <v>6</v>
      </c>
      <c r="E8" s="5">
        <v>30</v>
      </c>
      <c r="F8" s="5">
        <v>6</v>
      </c>
    </row>
    <row r="9" spans="1:6">
      <c r="A9" s="2" t="s">
        <v>15</v>
      </c>
      <c r="B9" s="5">
        <v>30</v>
      </c>
      <c r="C9" s="5">
        <v>50</v>
      </c>
      <c r="D9" s="5">
        <v>50</v>
      </c>
      <c r="E9" s="5">
        <v>42</v>
      </c>
      <c r="F9" s="5"/>
    </row>
    <row r="10" spans="1:6">
      <c r="A10" s="2" t="s">
        <v>16</v>
      </c>
      <c r="B10" s="5">
        <v>30</v>
      </c>
      <c r="C10" s="5">
        <v>30</v>
      </c>
      <c r="D10" s="5">
        <v>30</v>
      </c>
      <c r="E10" s="5">
        <v>35</v>
      </c>
      <c r="F10" s="5">
        <v>60</v>
      </c>
    </row>
    <row r="11" spans="1:6">
      <c r="A11" s="6" t="s">
        <v>18</v>
      </c>
      <c r="B11" s="7">
        <v>244</v>
      </c>
      <c r="C11" s="7">
        <v>365</v>
      </c>
      <c r="D11" s="7">
        <v>365</v>
      </c>
      <c r="E11" s="7">
        <v>330</v>
      </c>
      <c r="F11" s="7">
        <v>341</v>
      </c>
    </row>
    <row r="12" spans="1:6">
      <c r="A12" s="6"/>
      <c r="B12" s="7"/>
      <c r="C12" s="7" t="s">
        <v>86</v>
      </c>
      <c r="D12" s="7"/>
      <c r="E12" s="7"/>
      <c r="F12" s="7"/>
    </row>
    <row r="14" spans="1:6">
      <c r="A14" t="s">
        <v>19</v>
      </c>
    </row>
    <row r="15" spans="1:6">
      <c r="A15" s="2" t="s">
        <v>20</v>
      </c>
      <c r="B15" s="8">
        <v>0.5</v>
      </c>
      <c r="C15" s="8">
        <v>0.5</v>
      </c>
      <c r="D15" s="8">
        <v>0.5</v>
      </c>
      <c r="E15" s="8">
        <v>0.5</v>
      </c>
      <c r="F15" s="8">
        <v>0.3</v>
      </c>
    </row>
    <row r="16" spans="1:6">
      <c r="A16" s="2" t="s">
        <v>21</v>
      </c>
      <c r="B16" s="8">
        <v>0.5</v>
      </c>
      <c r="C16" s="8">
        <v>0.5</v>
      </c>
      <c r="D16" s="8">
        <v>0.5</v>
      </c>
      <c r="E16" s="8">
        <v>0.5</v>
      </c>
      <c r="F16" s="8">
        <v>0.7</v>
      </c>
    </row>
    <row r="17" spans="1:6">
      <c r="A17" s="2"/>
      <c r="B17" s="8"/>
      <c r="C17" s="8"/>
      <c r="D17" s="8"/>
      <c r="E17" s="8"/>
      <c r="F17" s="8"/>
    </row>
    <row r="18" spans="1:6">
      <c r="A18" s="2" t="s">
        <v>22</v>
      </c>
      <c r="C18">
        <v>102</v>
      </c>
      <c r="D18" t="s">
        <v>23</v>
      </c>
    </row>
    <row r="19" spans="1:6">
      <c r="A19" t="s">
        <v>17</v>
      </c>
      <c r="C19" s="9">
        <v>55.556687452584328</v>
      </c>
      <c r="D19" t="s">
        <v>87</v>
      </c>
    </row>
    <row r="20" spans="1:6">
      <c r="C2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2:L39"/>
  <sheetViews>
    <sheetView topLeftCell="A16" workbookViewId="0">
      <selection activeCell="C38" sqref="C38"/>
    </sheetView>
  </sheetViews>
  <sheetFormatPr defaultRowHeight="14"/>
  <cols>
    <col min="1" max="1" width="21.58203125" customWidth="1"/>
    <col min="6" max="6" width="15.9140625" customWidth="1"/>
    <col min="9" max="9" width="13.83203125" customWidth="1"/>
  </cols>
  <sheetData>
    <row r="2" spans="1:12">
      <c r="A2" t="s">
        <v>88</v>
      </c>
      <c r="F2" t="s">
        <v>90</v>
      </c>
      <c r="I2" t="s">
        <v>89</v>
      </c>
      <c r="L2" t="s">
        <v>138</v>
      </c>
    </row>
    <row r="3" spans="1:12">
      <c r="A3" s="11" t="s">
        <v>24</v>
      </c>
      <c r="E3" t="s">
        <v>82</v>
      </c>
      <c r="F3" t="s">
        <v>4</v>
      </c>
      <c r="G3" s="36">
        <f>'Data Entry'!O15</f>
        <v>335</v>
      </c>
      <c r="I3" t="s">
        <v>80</v>
      </c>
      <c r="L3" s="34">
        <f>'Data Entry'!O49</f>
        <v>0</v>
      </c>
    </row>
    <row r="4" spans="1:12">
      <c r="A4" s="83" t="s">
        <v>25</v>
      </c>
      <c r="B4" s="4" t="s">
        <v>1</v>
      </c>
      <c r="C4" s="24">
        <f>'Data Entry'!O9</f>
        <v>4.2500000000000003E-2</v>
      </c>
      <c r="F4" t="s">
        <v>6</v>
      </c>
      <c r="G4" s="36">
        <f>'Data Entry'!O17</f>
        <v>420</v>
      </c>
      <c r="I4" t="s">
        <v>82</v>
      </c>
      <c r="J4" t="s">
        <v>4</v>
      </c>
      <c r="K4" s="33">
        <f>'Data Entry'!O24</f>
        <v>5684</v>
      </c>
      <c r="L4">
        <f>K4*$L$3</f>
        <v>0</v>
      </c>
    </row>
    <row r="5" spans="1:12">
      <c r="A5" s="83"/>
      <c r="B5" s="4" t="s">
        <v>2</v>
      </c>
      <c r="C5" s="24">
        <f>'Data Entry'!O10</f>
        <v>3.4000000000000002E-2</v>
      </c>
      <c r="F5" t="s">
        <v>91</v>
      </c>
      <c r="G5" s="36">
        <f>'Data Entry'!O16</f>
        <v>420</v>
      </c>
      <c r="J5" t="s">
        <v>5</v>
      </c>
      <c r="K5" s="33">
        <f>'Data Entry'!O25</f>
        <v>2074</v>
      </c>
      <c r="L5">
        <f>K5*$L$3</f>
        <v>0</v>
      </c>
    </row>
    <row r="6" spans="1:12" ht="28">
      <c r="A6" s="83"/>
      <c r="B6" s="4" t="s">
        <v>26</v>
      </c>
      <c r="C6" s="24">
        <f>'Data Entry'!O11</f>
        <v>8.8999999999999996E-2</v>
      </c>
      <c r="J6" t="s">
        <v>81</v>
      </c>
      <c r="K6" s="33">
        <f>'Data Entry'!O26</f>
        <v>668</v>
      </c>
      <c r="L6">
        <f>K6*$L$3</f>
        <v>0</v>
      </c>
    </row>
    <row r="7" spans="1:12">
      <c r="A7" s="12" t="s">
        <v>27</v>
      </c>
      <c r="B7" s="4" t="s">
        <v>1</v>
      </c>
      <c r="C7" s="14">
        <v>0.4</v>
      </c>
      <c r="J7" t="s">
        <v>6</v>
      </c>
      <c r="K7" s="33">
        <f>'Data Entry'!O27</f>
        <v>1971</v>
      </c>
      <c r="L7">
        <f>K7*$L$3</f>
        <v>0</v>
      </c>
    </row>
    <row r="8" spans="1:12">
      <c r="A8" s="84" t="s">
        <v>140</v>
      </c>
      <c r="B8" s="4" t="s">
        <v>1</v>
      </c>
      <c r="C8" s="14">
        <v>0.81499999999999995</v>
      </c>
      <c r="I8" t="s">
        <v>100</v>
      </c>
      <c r="J8" t="s">
        <v>4</v>
      </c>
      <c r="K8" s="37">
        <f>(K4-G3)*100/$D26</f>
        <v>27.859375</v>
      </c>
      <c r="L8" s="37">
        <f>(L4)*100/$D26</f>
        <v>0</v>
      </c>
    </row>
    <row r="9" spans="1:12" ht="28">
      <c r="A9" s="84"/>
      <c r="B9" s="4" t="s">
        <v>26</v>
      </c>
      <c r="C9" s="14">
        <v>1.7000000000000001E-2</v>
      </c>
      <c r="J9" t="s">
        <v>6</v>
      </c>
      <c r="K9" s="37">
        <f>(K7-G4)*100/$D38</f>
        <v>0.8032107716209218</v>
      </c>
      <c r="L9" s="37">
        <f>(L7)*100/$D38</f>
        <v>0</v>
      </c>
    </row>
    <row r="10" spans="1:12">
      <c r="A10" s="83" t="s">
        <v>29</v>
      </c>
      <c r="B10" s="4" t="s">
        <v>1</v>
      </c>
      <c r="C10" s="14">
        <v>5.0000000000000001E-3</v>
      </c>
      <c r="J10" t="s">
        <v>5</v>
      </c>
      <c r="K10" s="37">
        <f>(K5-G5-K6*C33)*100/$D39</f>
        <v>15.3065</v>
      </c>
      <c r="L10" s="37">
        <f>(L5)*100/$D39</f>
        <v>0</v>
      </c>
    </row>
    <row r="11" spans="1:12" ht="28">
      <c r="A11" s="83"/>
      <c r="B11" s="4" t="s">
        <v>26</v>
      </c>
      <c r="C11" s="15">
        <f>(1-C10)/(1-C4)*C6</f>
        <v>9.2485639686684079E-2</v>
      </c>
      <c r="K11" s="33"/>
    </row>
    <row r="12" spans="1:12" ht="28">
      <c r="A12" s="83"/>
      <c r="B12" s="4" t="s">
        <v>30</v>
      </c>
      <c r="C12" s="15">
        <f>C11+C10</f>
        <v>9.7485639686684084E-2</v>
      </c>
      <c r="I12" s="11" t="s">
        <v>84</v>
      </c>
      <c r="J12" s="11"/>
      <c r="K12" s="38">
        <f>SUM(K8:K10)</f>
        <v>43.969085771620925</v>
      </c>
      <c r="L12" s="38">
        <f>SUM(L8:L10)</f>
        <v>0</v>
      </c>
    </row>
    <row r="13" spans="1:12" ht="28">
      <c r="A13" s="4" t="s">
        <v>6</v>
      </c>
      <c r="B13" s="4" t="s">
        <v>30</v>
      </c>
      <c r="C13" s="14">
        <v>0.98499999999999999</v>
      </c>
    </row>
    <row r="14" spans="1:12" ht="28">
      <c r="A14" s="83" t="s">
        <v>31</v>
      </c>
      <c r="B14" s="4" t="s">
        <v>30</v>
      </c>
      <c r="C14" s="14">
        <v>0.98499999999999999</v>
      </c>
    </row>
    <row r="15" spans="1:12">
      <c r="A15" s="83"/>
      <c r="B15" s="4" t="s">
        <v>2</v>
      </c>
      <c r="C15" s="14">
        <v>0.34</v>
      </c>
    </row>
    <row r="16" spans="1:12" ht="28">
      <c r="A16" s="83" t="s">
        <v>32</v>
      </c>
      <c r="B16" s="4" t="s">
        <v>26</v>
      </c>
      <c r="C16" s="14">
        <f>C6/(1-C4)</f>
        <v>9.2950391644908606E-2</v>
      </c>
    </row>
    <row r="17" spans="1:5">
      <c r="A17" s="83"/>
      <c r="B17" s="4" t="s">
        <v>1</v>
      </c>
      <c r="C17" s="14">
        <v>5.9999999999999995E-4</v>
      </c>
    </row>
    <row r="18" spans="1:5">
      <c r="A18" s="12" t="s">
        <v>33</v>
      </c>
      <c r="B18" s="4" t="s">
        <v>34</v>
      </c>
      <c r="C18" s="16">
        <v>1.02969</v>
      </c>
    </row>
    <row r="19" spans="1:5">
      <c r="A19" s="12" t="s">
        <v>35</v>
      </c>
      <c r="B19" s="4" t="s">
        <v>36</v>
      </c>
      <c r="C19" s="17">
        <v>100</v>
      </c>
    </row>
    <row r="20" spans="1:5" ht="14.5">
      <c r="A20" s="12" t="s">
        <v>37</v>
      </c>
      <c r="B20" s="4" t="s">
        <v>36</v>
      </c>
      <c r="C20" s="18">
        <f>C19*(C4-C17)/(C7-C17)</f>
        <v>10.490736104156234</v>
      </c>
      <c r="D20">
        <f>C19*(C4-C17)/C7</f>
        <v>10.475</v>
      </c>
      <c r="E20" s="67"/>
    </row>
    <row r="21" spans="1:5">
      <c r="A21" s="12" t="s">
        <v>38</v>
      </c>
      <c r="B21" s="4" t="s">
        <v>36</v>
      </c>
      <c r="C21" s="19">
        <f>C20*(C7-C10)/(C8-C10)</f>
        <v>5.1158527915329781</v>
      </c>
    </row>
    <row r="22" spans="1:5">
      <c r="A22" s="12" t="s">
        <v>39</v>
      </c>
      <c r="B22" s="13" t="s">
        <v>36</v>
      </c>
      <c r="C22" s="19">
        <f>(C20-C21)*(1-C23)</f>
        <v>5.3211344794970232</v>
      </c>
    </row>
    <row r="23" spans="1:5">
      <c r="A23" s="12" t="s">
        <v>40</v>
      </c>
      <c r="B23" s="4"/>
      <c r="C23" s="24">
        <f>'Data Entry'!O38</f>
        <v>0.01</v>
      </c>
      <c r="D23" s="34"/>
      <c r="E23" s="33"/>
    </row>
    <row r="24" spans="1:5">
      <c r="A24" s="12" t="s">
        <v>38</v>
      </c>
      <c r="B24" s="4" t="s">
        <v>36</v>
      </c>
      <c r="C24" s="19">
        <f>C21*(1-C23)</f>
        <v>5.064694263617648</v>
      </c>
    </row>
    <row r="25" spans="1:5">
      <c r="A25" s="12" t="s">
        <v>41</v>
      </c>
      <c r="B25" s="4" t="s">
        <v>42</v>
      </c>
      <c r="C25" s="20">
        <f>C19/C24*1000</f>
        <v>19744.528454235111</v>
      </c>
    </row>
    <row r="26" spans="1:5">
      <c r="A26" s="12" t="s">
        <v>41</v>
      </c>
      <c r="B26" s="4" t="s">
        <v>43</v>
      </c>
      <c r="C26" s="20">
        <f>C25/C$18</f>
        <v>19175.216282798814</v>
      </c>
      <c r="D26" s="39">
        <f>ROUND(C26/100,0)*100</f>
        <v>19200</v>
      </c>
      <c r="E26" t="s">
        <v>145</v>
      </c>
    </row>
    <row r="27" spans="1:5" ht="28">
      <c r="A27" s="12" t="s">
        <v>44</v>
      </c>
      <c r="B27" s="4" t="s">
        <v>36</v>
      </c>
      <c r="C27" s="19">
        <f>C19-C21</f>
        <v>94.884147208467027</v>
      </c>
    </row>
    <row r="28" spans="1:5" ht="28">
      <c r="A28" s="12" t="s">
        <v>45</v>
      </c>
      <c r="B28" s="4" t="s">
        <v>36</v>
      </c>
      <c r="C28" s="19">
        <f>C19*(C6+C4)-C21*(C8+C9)</f>
        <v>8.8936104774445628</v>
      </c>
    </row>
    <row r="29" spans="1:5">
      <c r="A29" s="12" t="s">
        <v>46</v>
      </c>
      <c r="B29" s="4"/>
      <c r="C29" s="21">
        <f>C28/C27</f>
        <v>9.3731257950863872E-2</v>
      </c>
    </row>
    <row r="30" spans="1:5">
      <c r="A30" s="12" t="s">
        <v>141</v>
      </c>
      <c r="B30" s="4"/>
      <c r="C30" s="62">
        <f>'Data Entry'!O39</f>
        <v>5.0000000000000001E-3</v>
      </c>
    </row>
    <row r="31" spans="1:5">
      <c r="A31" s="12" t="s">
        <v>142</v>
      </c>
      <c r="B31" s="4"/>
      <c r="C31" s="62">
        <f>'Data Entry'!O40</f>
        <v>5.0000000000000001E-3</v>
      </c>
    </row>
    <row r="32" spans="1:5" ht="28">
      <c r="A32" s="12" t="s">
        <v>47</v>
      </c>
      <c r="B32" s="4" t="s">
        <v>48</v>
      </c>
      <c r="C32" s="22">
        <f>(C5/(1-C4+C17))/C29</f>
        <v>0.37860263410895456</v>
      </c>
      <c r="D32" s="33"/>
      <c r="E32" s="72">
        <f>C32*(1-C33)</f>
        <v>0.3433925891368218</v>
      </c>
    </row>
    <row r="33" spans="1:5" ht="28">
      <c r="A33" s="12" t="s">
        <v>49</v>
      </c>
      <c r="B33" s="4" t="s">
        <v>48</v>
      </c>
      <c r="C33" s="66">
        <f>'Data Entry'!O34</f>
        <v>9.2999999999999999E-2</v>
      </c>
    </row>
    <row r="34" spans="1:5">
      <c r="A34" s="12" t="s">
        <v>50</v>
      </c>
      <c r="B34" s="4" t="s">
        <v>51</v>
      </c>
      <c r="C34" s="23">
        <f>C33*'Data Entry'!O26</f>
        <v>62.124000000000002</v>
      </c>
    </row>
    <row r="35" spans="1:5">
      <c r="A35" s="12" t="s">
        <v>52</v>
      </c>
      <c r="B35" s="4" t="s">
        <v>36</v>
      </c>
      <c r="C35" s="19">
        <f>C27*(1-C30)*C29/C14*(1+C33)</f>
        <v>9.8194037264849463</v>
      </c>
    </row>
    <row r="36" spans="1:5">
      <c r="A36" s="12" t="s">
        <v>53</v>
      </c>
      <c r="B36" s="4" t="s">
        <v>36</v>
      </c>
      <c r="C36" s="19">
        <f>C22*(1-C31)*(C16+C17)/C13</f>
        <v>0.5028479629232615</v>
      </c>
    </row>
    <row r="37" spans="1:5">
      <c r="A37" s="12" t="s">
        <v>54</v>
      </c>
      <c r="B37" s="4" t="s">
        <v>36</v>
      </c>
      <c r="C37" s="18">
        <f>(C35-C36)</f>
        <v>9.3165557635616842</v>
      </c>
    </row>
    <row r="38" spans="1:5">
      <c r="A38" s="12" t="s">
        <v>55</v>
      </c>
      <c r="B38" s="4" t="s">
        <v>43</v>
      </c>
      <c r="C38" s="20">
        <f>C19/C36*1000/C$18</f>
        <v>193133.14375689262</v>
      </c>
      <c r="D38" s="39">
        <f>ROUND(C38/100,0)*100</f>
        <v>193100</v>
      </c>
      <c r="E38" t="s">
        <v>145</v>
      </c>
    </row>
    <row r="39" spans="1:5">
      <c r="A39" s="12" t="s">
        <v>56</v>
      </c>
      <c r="B39" s="4" t="s">
        <v>43</v>
      </c>
      <c r="C39" s="20">
        <f>C19/C37*1000/C$18</f>
        <v>10424.089156526612</v>
      </c>
      <c r="D39" s="39">
        <f>ROUND(C39/100,0)*100</f>
        <v>10400</v>
      </c>
      <c r="E39" t="s">
        <v>145</v>
      </c>
    </row>
  </sheetData>
  <mergeCells count="5">
    <mergeCell ref="A4:A6"/>
    <mergeCell ref="A8:A9"/>
    <mergeCell ref="A10:A12"/>
    <mergeCell ref="A14:A15"/>
    <mergeCell ref="A16:A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2:L37"/>
  <sheetViews>
    <sheetView topLeftCell="A6" workbookViewId="0">
      <selection activeCell="C14" sqref="C14"/>
    </sheetView>
  </sheetViews>
  <sheetFormatPr defaultRowHeight="14"/>
  <cols>
    <col min="1" max="1" width="26.58203125" customWidth="1"/>
    <col min="9" max="9" width="14.5" customWidth="1"/>
    <col min="10" max="10" width="16.25" customWidth="1"/>
  </cols>
  <sheetData>
    <row r="2" spans="1:12">
      <c r="A2" s="11" t="s">
        <v>57</v>
      </c>
      <c r="F2" t="s">
        <v>92</v>
      </c>
      <c r="I2" t="s">
        <v>97</v>
      </c>
      <c r="L2" t="s">
        <v>138</v>
      </c>
    </row>
    <row r="3" spans="1:12">
      <c r="A3" s="83" t="s">
        <v>25</v>
      </c>
      <c r="B3" s="4" t="s">
        <v>1</v>
      </c>
      <c r="C3" s="24">
        <f>'Data Entry'!P9</f>
        <v>4.2500000000000003E-2</v>
      </c>
      <c r="E3" t="s">
        <v>93</v>
      </c>
      <c r="F3" t="s">
        <v>94</v>
      </c>
      <c r="G3" s="36">
        <f>'Data Entry'!O18</f>
        <v>425</v>
      </c>
      <c r="I3" t="s">
        <v>98</v>
      </c>
      <c r="L3" s="34">
        <f>'Data Entry'!O50</f>
        <v>0</v>
      </c>
    </row>
    <row r="4" spans="1:12">
      <c r="A4" s="83"/>
      <c r="B4" s="4" t="s">
        <v>2</v>
      </c>
      <c r="C4" s="24">
        <f>'Data Entry'!P10</f>
        <v>3.4000000000000002E-2</v>
      </c>
      <c r="F4" t="s">
        <v>95</v>
      </c>
      <c r="G4" s="36">
        <f>'Data Entry'!O19</f>
        <v>455</v>
      </c>
      <c r="I4" t="s">
        <v>99</v>
      </c>
      <c r="J4" t="s">
        <v>79</v>
      </c>
      <c r="K4" s="33">
        <f>'Data Entry'!O28</f>
        <v>3804</v>
      </c>
      <c r="L4">
        <f>K4*$L$3</f>
        <v>0</v>
      </c>
    </row>
    <row r="5" spans="1:12" ht="28">
      <c r="A5" s="83"/>
      <c r="B5" s="4" t="s">
        <v>26</v>
      </c>
      <c r="C5" s="24">
        <f>'Data Entry'!P11</f>
        <v>8.8999999999999996E-2</v>
      </c>
      <c r="F5" t="s">
        <v>109</v>
      </c>
      <c r="G5">
        <f>'Data Entry'!O15</f>
        <v>335</v>
      </c>
      <c r="J5" t="s">
        <v>70</v>
      </c>
      <c r="K5" s="33">
        <f>'Data Entry'!O29</f>
        <v>724</v>
      </c>
      <c r="L5">
        <f>K5*$L$3</f>
        <v>0</v>
      </c>
    </row>
    <row r="6" spans="1:12">
      <c r="A6" s="28" t="s">
        <v>33</v>
      </c>
      <c r="B6" s="29" t="s">
        <v>34</v>
      </c>
      <c r="C6" s="30">
        <v>1.02969</v>
      </c>
      <c r="J6" t="s">
        <v>96</v>
      </c>
      <c r="K6" s="33">
        <f>'Data Entry'!O30</f>
        <v>5384</v>
      </c>
      <c r="L6">
        <f>K6*$L$3</f>
        <v>0</v>
      </c>
    </row>
    <row r="7" spans="1:12">
      <c r="A7" s="83" t="s">
        <v>58</v>
      </c>
      <c r="B7" s="4" t="s">
        <v>1</v>
      </c>
      <c r="C7" s="21">
        <v>0.34</v>
      </c>
      <c r="I7" t="s">
        <v>100</v>
      </c>
      <c r="J7" t="s">
        <v>79</v>
      </c>
      <c r="K7" s="37">
        <f>(K4-G3)*100/$D14</f>
        <v>37.966292134831463</v>
      </c>
      <c r="L7" s="37">
        <f>(L4)*100/$D14</f>
        <v>0</v>
      </c>
    </row>
    <row r="8" spans="1:12">
      <c r="A8" s="83"/>
      <c r="B8" s="4" t="s">
        <v>2</v>
      </c>
      <c r="C8" s="21">
        <v>0.254</v>
      </c>
      <c r="J8" t="s">
        <v>70</v>
      </c>
      <c r="K8" s="37">
        <f>(K5-G4)*100/$D34</f>
        <v>1.6204819277108433</v>
      </c>
      <c r="L8" s="37">
        <f>(L5)*100/$D34</f>
        <v>0</v>
      </c>
    </row>
    <row r="9" spans="1:12" ht="28">
      <c r="A9" s="83"/>
      <c r="B9" s="4" t="s">
        <v>59</v>
      </c>
      <c r="C9" s="21">
        <v>2.8000000000000001E-2</v>
      </c>
      <c r="J9" t="s">
        <v>96</v>
      </c>
      <c r="K9" s="37">
        <f>(K6-G5)*100/$D37</f>
        <v>2.7635467980295565</v>
      </c>
      <c r="L9" s="37">
        <f>(L6)*100/$D37</f>
        <v>0</v>
      </c>
    </row>
    <row r="10" spans="1:12">
      <c r="A10" s="84" t="s">
        <v>28</v>
      </c>
      <c r="B10" s="4" t="s">
        <v>1</v>
      </c>
      <c r="C10" s="24">
        <f>'AMPE calc'!C8</f>
        <v>0.81499999999999995</v>
      </c>
      <c r="K10" s="33"/>
      <c r="L10" s="37"/>
    </row>
    <row r="11" spans="1:12" ht="28">
      <c r="A11" s="84"/>
      <c r="B11" s="4" t="s">
        <v>26</v>
      </c>
      <c r="C11" s="14">
        <v>1.7000000000000001E-2</v>
      </c>
      <c r="I11" s="11" t="s">
        <v>101</v>
      </c>
      <c r="J11" s="11"/>
      <c r="K11" s="38">
        <f>SUM(K7:K9)</f>
        <v>42.350320860571863</v>
      </c>
      <c r="L11" s="38">
        <f>SUM(L7:L9)</f>
        <v>0</v>
      </c>
    </row>
    <row r="12" spans="1:12">
      <c r="A12" s="12" t="s">
        <v>60</v>
      </c>
      <c r="B12" s="4" t="s">
        <v>48</v>
      </c>
      <c r="C12" s="24">
        <f>'Data Entry'!O41</f>
        <v>7.4999999999999997E-3</v>
      </c>
      <c r="L12" s="38"/>
    </row>
    <row r="13" spans="1:12">
      <c r="A13" s="12" t="s">
        <v>61</v>
      </c>
      <c r="B13" s="4" t="s">
        <v>36</v>
      </c>
      <c r="C13" s="25">
        <f>1000*C8*(1+C12)</f>
        <v>255.90500000000003</v>
      </c>
    </row>
    <row r="14" spans="1:12">
      <c r="A14" s="12" t="s">
        <v>62</v>
      </c>
      <c r="B14" s="4" t="s">
        <v>43</v>
      </c>
      <c r="C14" s="20">
        <f>1000/((C3*0.88+C4*0.74)*1.09/SUM(C7:C9))/C6</f>
        <v>8858.5094266518372</v>
      </c>
      <c r="D14" s="39">
        <f>ROUND(C14/100,0)*100</f>
        <v>8900</v>
      </c>
      <c r="E14" t="s">
        <v>145</v>
      </c>
    </row>
    <row r="15" spans="1:12">
      <c r="A15" s="83" t="s">
        <v>63</v>
      </c>
      <c r="B15" s="4" t="s">
        <v>1</v>
      </c>
      <c r="C15" s="26">
        <f>1000*C7*(1+C12)</f>
        <v>342.55</v>
      </c>
    </row>
    <row r="16" spans="1:12">
      <c r="A16" s="83"/>
      <c r="B16" s="4" t="s">
        <v>2</v>
      </c>
      <c r="C16" s="26">
        <f>C13</f>
        <v>255.90500000000003</v>
      </c>
    </row>
    <row r="17" spans="1:3" ht="28">
      <c r="A17" s="83"/>
      <c r="B17" s="4" t="s">
        <v>59</v>
      </c>
      <c r="C17" s="26">
        <f>1000*C9</f>
        <v>28</v>
      </c>
    </row>
    <row r="18" spans="1:3">
      <c r="A18" s="83" t="s">
        <v>64</v>
      </c>
      <c r="B18" s="4" t="s">
        <v>1</v>
      </c>
      <c r="C18" s="26">
        <f>C15*C$12</f>
        <v>2.5691250000000001</v>
      </c>
    </row>
    <row r="19" spans="1:3">
      <c r="A19" s="83"/>
      <c r="B19" s="4" t="s">
        <v>2</v>
      </c>
      <c r="C19" s="26">
        <f>C16*C$12</f>
        <v>1.9192875000000003</v>
      </c>
    </row>
    <row r="20" spans="1:3" ht="28">
      <c r="A20" s="83"/>
      <c r="B20" s="4" t="s">
        <v>59</v>
      </c>
      <c r="C20" s="26">
        <f>C17*C$12</f>
        <v>0.21</v>
      </c>
    </row>
    <row r="21" spans="1:3">
      <c r="A21" s="83" t="s">
        <v>65</v>
      </c>
      <c r="B21" s="4" t="s">
        <v>1</v>
      </c>
      <c r="C21" s="32">
        <f>C14*C6*C3-C15-C18</f>
        <v>42.545414289988045</v>
      </c>
    </row>
    <row r="22" spans="1:3">
      <c r="A22" s="83"/>
      <c r="B22" s="4" t="s">
        <v>2</v>
      </c>
      <c r="C22" s="32">
        <f>C14*C6*C4-C16-C19</f>
        <v>52.307343931990424</v>
      </c>
    </row>
    <row r="23" spans="1:3" ht="28">
      <c r="A23" s="83"/>
      <c r="B23" s="4" t="s">
        <v>59</v>
      </c>
      <c r="C23" s="32">
        <f>C14*C6*(C5-C4)-C17-C20</f>
        <v>473.47352143410211</v>
      </c>
    </row>
    <row r="24" spans="1:3">
      <c r="A24" s="12" t="s">
        <v>66</v>
      </c>
      <c r="B24" s="4" t="s">
        <v>48</v>
      </c>
      <c r="C24" s="24">
        <f>'Data Entry'!O42</f>
        <v>0.01</v>
      </c>
    </row>
    <row r="25" spans="1:3">
      <c r="A25" s="83" t="s">
        <v>67</v>
      </c>
      <c r="B25" s="4" t="s">
        <v>1</v>
      </c>
      <c r="C25" s="27">
        <f>C21*C$24</f>
        <v>0.42545414289988048</v>
      </c>
    </row>
    <row r="26" spans="1:3">
      <c r="A26" s="83"/>
      <c r="B26" s="4" t="s">
        <v>68</v>
      </c>
      <c r="C26" s="31">
        <f>(C22+C23)*C$24</f>
        <v>5.2578086536609252</v>
      </c>
    </row>
    <row r="27" spans="1:3">
      <c r="A27" s="83"/>
      <c r="B27" s="4" t="s">
        <v>69</v>
      </c>
      <c r="C27" s="31">
        <f>C31*C$24</f>
        <v>5.2312567199599371</v>
      </c>
    </row>
    <row r="28" spans="1:3">
      <c r="A28" s="4" t="s">
        <v>70</v>
      </c>
      <c r="B28" s="4" t="s">
        <v>1</v>
      </c>
      <c r="C28" s="22">
        <v>5.0000000000000001E-3</v>
      </c>
    </row>
    <row r="29" spans="1:3">
      <c r="A29" s="83" t="s">
        <v>71</v>
      </c>
      <c r="B29" s="4" t="s">
        <v>1</v>
      </c>
      <c r="C29" s="32">
        <f>C30*C28</f>
        <v>2.6026152835621579</v>
      </c>
    </row>
    <row r="30" spans="1:3">
      <c r="A30" s="83"/>
      <c r="B30" s="4" t="s">
        <v>68</v>
      </c>
      <c r="C30" s="31">
        <f>(C23+C22)-C26</f>
        <v>520.52305671243153</v>
      </c>
    </row>
    <row r="31" spans="1:3">
      <c r="A31" s="83"/>
      <c r="B31" s="4" t="s">
        <v>69</v>
      </c>
      <c r="C31" s="31">
        <f>C30+C29</f>
        <v>523.12567199599368</v>
      </c>
    </row>
    <row r="32" spans="1:3">
      <c r="A32" s="4" t="s">
        <v>72</v>
      </c>
      <c r="B32" s="4" t="s">
        <v>48</v>
      </c>
      <c r="C32" s="22">
        <v>0.98</v>
      </c>
    </row>
    <row r="33" spans="1:5">
      <c r="A33" s="4" t="s">
        <v>73</v>
      </c>
      <c r="B33" s="4" t="s">
        <v>69</v>
      </c>
      <c r="C33" s="31">
        <f>C31/C32</f>
        <v>533.80170611836093</v>
      </c>
    </row>
    <row r="34" spans="1:5">
      <c r="A34" s="12" t="s">
        <v>74</v>
      </c>
      <c r="B34" s="4" t="s">
        <v>43</v>
      </c>
      <c r="C34" s="20">
        <f>1000/C33*C14</f>
        <v>16595.131347683669</v>
      </c>
      <c r="D34" s="39">
        <f>ROUND(C34/100,0)*100</f>
        <v>16600</v>
      </c>
      <c r="E34" t="s">
        <v>145</v>
      </c>
    </row>
    <row r="35" spans="1:5">
      <c r="A35" s="4" t="s">
        <v>75</v>
      </c>
      <c r="B35" s="4" t="s">
        <v>1</v>
      </c>
      <c r="C35" s="32">
        <f>C21-C29-C25</f>
        <v>39.517344863526006</v>
      </c>
    </row>
    <row r="36" spans="1:5">
      <c r="A36" s="12" t="s">
        <v>76</v>
      </c>
      <c r="B36" s="4" t="s">
        <v>36</v>
      </c>
      <c r="C36" s="32">
        <f>C35/C10</f>
        <v>48.487539709847866</v>
      </c>
      <c r="D36" t="s">
        <v>114</v>
      </c>
    </row>
    <row r="37" spans="1:5">
      <c r="A37" s="12" t="s">
        <v>77</v>
      </c>
      <c r="B37" s="4" t="s">
        <v>43</v>
      </c>
      <c r="C37" s="20">
        <f>1000/C36*C14</f>
        <v>182696.61607212183</v>
      </c>
      <c r="D37" s="39">
        <f>ROUND(C37/100,0)*100</f>
        <v>182700</v>
      </c>
      <c r="E37" t="s">
        <v>145</v>
      </c>
    </row>
  </sheetData>
  <mergeCells count="8">
    <mergeCell ref="A25:A27"/>
    <mergeCell ref="A29:A31"/>
    <mergeCell ref="A3:A5"/>
    <mergeCell ref="A7:A9"/>
    <mergeCell ref="A10:A11"/>
    <mergeCell ref="A15:A17"/>
    <mergeCell ref="A18:A20"/>
    <mergeCell ref="A21:A23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a12ce54b-3d3d-4346-95ef-ff13ca5dd47d}" enabled="0" method="" siteId="{a12ce54b-3d3d-4346-95ef-ff13ca5dd47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Entry</vt:lpstr>
    </vt:vector>
  </TitlesOfParts>
  <Company>AHDB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Jack</dc:creator>
  <cp:lastModifiedBy>Susie Stannard</cp:lastModifiedBy>
  <dcterms:created xsi:type="dcterms:W3CDTF">2020-10-09T10:45:07Z</dcterms:created>
  <dcterms:modified xsi:type="dcterms:W3CDTF">2025-09-26T09:41:56Z</dcterms:modified>
</cp:coreProperties>
</file>